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heckCompatibility="1"/>
  <mc:AlternateContent xmlns:mc="http://schemas.openxmlformats.org/markup-compatibility/2006">
    <mc:Choice Requires="x15">
      <x15ac:absPath xmlns:x15ac="http://schemas.microsoft.com/office/spreadsheetml/2010/11/ac" url="C:\Users\FPFM_\Desktop\"/>
    </mc:Choice>
  </mc:AlternateContent>
  <xr:revisionPtr revIDLastSave="0" documentId="8_{48F22904-AF1C-4544-BAF9-CA6DD880BAAF}" xr6:coauthVersionLast="47" xr6:coauthVersionMax="47" xr10:uidLastSave="{00000000-0000-0000-0000-000000000000}"/>
  <bookViews>
    <workbookView xWindow="0" yWindow="0" windowWidth="16485" windowHeight="7620" tabRatio="500" firstSheet="4" activeTab="7" xr2:uid="{00000000-000D-0000-FFFF-FFFF00000000}"/>
  </bookViews>
  <sheets>
    <sheet name="Equipes" sheetId="1" r:id="rId1"/>
    <sheet name="Grupos" sheetId="2" r:id="rId2"/>
    <sheet name="Jogos" sheetId="3" r:id="rId3"/>
    <sheet name="ClassGrupFases" sheetId="4" state="hidden" r:id="rId4"/>
    <sheet name="Classificação" sheetId="5" r:id="rId5"/>
    <sheet name="Plan1" sheetId="8" r:id="rId6"/>
    <sheet name="Finais" sheetId="6" r:id="rId7"/>
    <sheet name="Premiação" sheetId="7" r:id="rId8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" i="4" l="1"/>
  <c r="B4" i="3"/>
  <c r="M4" i="3"/>
  <c r="F4" i="3"/>
  <c r="N4" i="3"/>
  <c r="B5" i="3"/>
  <c r="M5" i="3"/>
  <c r="F5" i="3"/>
  <c r="N5" i="3"/>
  <c r="B6" i="3"/>
  <c r="M6" i="3"/>
  <c r="F6" i="3"/>
  <c r="N6" i="3"/>
  <c r="B7" i="3"/>
  <c r="M7" i="3"/>
  <c r="F7" i="3"/>
  <c r="N7" i="3"/>
  <c r="B8" i="3"/>
  <c r="M8" i="3"/>
  <c r="F8" i="3"/>
  <c r="N8" i="3"/>
  <c r="B9" i="3"/>
  <c r="M9" i="3"/>
  <c r="F9" i="3"/>
  <c r="N9" i="3"/>
  <c r="B10" i="3"/>
  <c r="M10" i="3"/>
  <c r="F10" i="3"/>
  <c r="N10" i="3"/>
  <c r="B11" i="3"/>
  <c r="M11" i="3"/>
  <c r="F11" i="3"/>
  <c r="N11" i="3"/>
  <c r="B12" i="3"/>
  <c r="M12" i="3"/>
  <c r="F12" i="3"/>
  <c r="N12" i="3"/>
  <c r="B13" i="3"/>
  <c r="M13" i="3"/>
  <c r="F13" i="3"/>
  <c r="N13" i="3"/>
  <c r="B14" i="3"/>
  <c r="M14" i="3"/>
  <c r="F14" i="3"/>
  <c r="N14" i="3"/>
  <c r="B15" i="3"/>
  <c r="M15" i="3"/>
  <c r="F15" i="3"/>
  <c r="N15" i="3"/>
  <c r="B16" i="3"/>
  <c r="M16" i="3"/>
  <c r="F16" i="3"/>
  <c r="N16" i="3"/>
  <c r="B17" i="3"/>
  <c r="M17" i="3"/>
  <c r="F17" i="3"/>
  <c r="N17" i="3"/>
  <c r="B18" i="3"/>
  <c r="M18" i="3"/>
  <c r="F18" i="3"/>
  <c r="N18" i="3"/>
  <c r="B19" i="3"/>
  <c r="M19" i="3"/>
  <c r="F19" i="3"/>
  <c r="N19" i="3"/>
  <c r="B20" i="3"/>
  <c r="M20" i="3"/>
  <c r="F20" i="3"/>
  <c r="N20" i="3"/>
  <c r="B21" i="3"/>
  <c r="M21" i="3"/>
  <c r="F21" i="3"/>
  <c r="N21" i="3"/>
  <c r="B22" i="3"/>
  <c r="M22" i="3"/>
  <c r="F22" i="3"/>
  <c r="N22" i="3"/>
  <c r="B23" i="3"/>
  <c r="M23" i="3"/>
  <c r="F23" i="3"/>
  <c r="N23" i="3"/>
  <c r="B25" i="3"/>
  <c r="M25" i="3"/>
  <c r="F25" i="3"/>
  <c r="N25" i="3"/>
  <c r="B26" i="3"/>
  <c r="M26" i="3"/>
  <c r="F26" i="3"/>
  <c r="N26" i="3"/>
  <c r="B27" i="3"/>
  <c r="M27" i="3"/>
  <c r="F27" i="3"/>
  <c r="N27" i="3"/>
  <c r="B28" i="3"/>
  <c r="M28" i="3"/>
  <c r="F28" i="3"/>
  <c r="N28" i="3"/>
  <c r="B29" i="3"/>
  <c r="M29" i="3"/>
  <c r="F29" i="3"/>
  <c r="N29" i="3"/>
  <c r="B30" i="3"/>
  <c r="M30" i="3"/>
  <c r="F30" i="3"/>
  <c r="N30" i="3"/>
  <c r="B31" i="3"/>
  <c r="M31" i="3"/>
  <c r="F31" i="3"/>
  <c r="N31" i="3"/>
  <c r="B32" i="3"/>
  <c r="M32" i="3"/>
  <c r="F32" i="3"/>
  <c r="N32" i="3"/>
  <c r="B33" i="3"/>
  <c r="M33" i="3"/>
  <c r="F33" i="3"/>
  <c r="N33" i="3"/>
  <c r="B34" i="3"/>
  <c r="M34" i="3"/>
  <c r="F34" i="3"/>
  <c r="N34" i="3"/>
  <c r="B35" i="3"/>
  <c r="M35" i="3"/>
  <c r="F35" i="3"/>
  <c r="N35" i="3"/>
  <c r="B36" i="3"/>
  <c r="M36" i="3"/>
  <c r="F36" i="3"/>
  <c r="N36" i="3"/>
  <c r="B37" i="3"/>
  <c r="M37" i="3"/>
  <c r="F37" i="3"/>
  <c r="N37" i="3"/>
  <c r="B38" i="3"/>
  <c r="M38" i="3"/>
  <c r="F38" i="3"/>
  <c r="N38" i="3"/>
  <c r="B39" i="3"/>
  <c r="M39" i="3"/>
  <c r="F39" i="3"/>
  <c r="N39" i="3"/>
  <c r="B40" i="3"/>
  <c r="M40" i="3"/>
  <c r="F40" i="3"/>
  <c r="N40" i="3"/>
  <c r="B41" i="3"/>
  <c r="M41" i="3"/>
  <c r="F41" i="3"/>
  <c r="N41" i="3"/>
  <c r="B42" i="3"/>
  <c r="M42" i="3"/>
  <c r="F42" i="3"/>
  <c r="N42" i="3"/>
  <c r="B43" i="3"/>
  <c r="M43" i="3"/>
  <c r="F43" i="3"/>
  <c r="N43" i="3"/>
  <c r="B44" i="3"/>
  <c r="M44" i="3"/>
  <c r="F44" i="3"/>
  <c r="N44" i="3"/>
  <c r="B46" i="3"/>
  <c r="M46" i="3"/>
  <c r="F46" i="3"/>
  <c r="N46" i="3"/>
  <c r="B47" i="3"/>
  <c r="M47" i="3"/>
  <c r="F47" i="3"/>
  <c r="N47" i="3"/>
  <c r="B48" i="3"/>
  <c r="M48" i="3"/>
  <c r="F48" i="3"/>
  <c r="N48" i="3"/>
  <c r="B49" i="3"/>
  <c r="M49" i="3"/>
  <c r="F49" i="3"/>
  <c r="N49" i="3"/>
  <c r="B50" i="3"/>
  <c r="M50" i="3"/>
  <c r="F50" i="3"/>
  <c r="N50" i="3"/>
  <c r="B51" i="3"/>
  <c r="M51" i="3"/>
  <c r="F51" i="3"/>
  <c r="N51" i="3"/>
  <c r="B52" i="3"/>
  <c r="M52" i="3"/>
  <c r="F52" i="3"/>
  <c r="N52" i="3"/>
  <c r="B53" i="3"/>
  <c r="M53" i="3"/>
  <c r="F53" i="3"/>
  <c r="N53" i="3"/>
  <c r="B54" i="3"/>
  <c r="M54" i="3"/>
  <c r="F54" i="3"/>
  <c r="N54" i="3"/>
  <c r="B55" i="3"/>
  <c r="M55" i="3"/>
  <c r="F55" i="3"/>
  <c r="N55" i="3"/>
  <c r="B56" i="3"/>
  <c r="M56" i="3"/>
  <c r="F56" i="3"/>
  <c r="N56" i="3"/>
  <c r="B57" i="3"/>
  <c r="M57" i="3"/>
  <c r="F57" i="3"/>
  <c r="N57" i="3"/>
  <c r="B58" i="3"/>
  <c r="M58" i="3"/>
  <c r="F58" i="3"/>
  <c r="N58" i="3"/>
  <c r="B59" i="3"/>
  <c r="M59" i="3"/>
  <c r="F59" i="3"/>
  <c r="N59" i="3"/>
  <c r="B60" i="3"/>
  <c r="M60" i="3"/>
  <c r="F60" i="3"/>
  <c r="N60" i="3"/>
  <c r="B61" i="3"/>
  <c r="M61" i="3"/>
  <c r="F61" i="3"/>
  <c r="N61" i="3"/>
  <c r="B62" i="3"/>
  <c r="M62" i="3"/>
  <c r="F62" i="3"/>
  <c r="N62" i="3"/>
  <c r="B63" i="3"/>
  <c r="M63" i="3"/>
  <c r="F63" i="3"/>
  <c r="N63" i="3"/>
  <c r="B64" i="3"/>
  <c r="M64" i="3"/>
  <c r="F64" i="3"/>
  <c r="N64" i="3"/>
  <c r="B65" i="3"/>
  <c r="M65" i="3"/>
  <c r="F65" i="3"/>
  <c r="N65" i="3"/>
  <c r="B67" i="3"/>
  <c r="M67" i="3"/>
  <c r="F67" i="3"/>
  <c r="N67" i="3"/>
  <c r="B68" i="3"/>
  <c r="M68" i="3"/>
  <c r="F68" i="3"/>
  <c r="N68" i="3"/>
  <c r="B69" i="3"/>
  <c r="M69" i="3"/>
  <c r="F69" i="3"/>
  <c r="N69" i="3"/>
  <c r="B70" i="3"/>
  <c r="M70" i="3"/>
  <c r="F70" i="3"/>
  <c r="N70" i="3"/>
  <c r="B71" i="3"/>
  <c r="M71" i="3"/>
  <c r="F71" i="3"/>
  <c r="N71" i="3"/>
  <c r="B72" i="3"/>
  <c r="M72" i="3"/>
  <c r="F72" i="3"/>
  <c r="N72" i="3"/>
  <c r="B73" i="3"/>
  <c r="M73" i="3"/>
  <c r="F73" i="3"/>
  <c r="N73" i="3"/>
  <c r="B74" i="3"/>
  <c r="M74" i="3"/>
  <c r="F74" i="3"/>
  <c r="N74" i="3"/>
  <c r="B75" i="3"/>
  <c r="M75" i="3"/>
  <c r="F75" i="3"/>
  <c r="N75" i="3"/>
  <c r="B76" i="3"/>
  <c r="M76" i="3"/>
  <c r="F76" i="3"/>
  <c r="N76" i="3"/>
  <c r="B77" i="3"/>
  <c r="M77" i="3"/>
  <c r="F77" i="3"/>
  <c r="N77" i="3"/>
  <c r="B78" i="3"/>
  <c r="M78" i="3"/>
  <c r="F78" i="3"/>
  <c r="N78" i="3"/>
  <c r="B79" i="3"/>
  <c r="M79" i="3"/>
  <c r="F79" i="3"/>
  <c r="N79" i="3"/>
  <c r="B80" i="3"/>
  <c r="M80" i="3"/>
  <c r="F80" i="3"/>
  <c r="N80" i="3"/>
  <c r="B81" i="3"/>
  <c r="M81" i="3"/>
  <c r="F81" i="3"/>
  <c r="N81" i="3"/>
  <c r="B82" i="3"/>
  <c r="M82" i="3"/>
  <c r="F82" i="3"/>
  <c r="N82" i="3"/>
  <c r="B83" i="3"/>
  <c r="M83" i="3"/>
  <c r="F83" i="3"/>
  <c r="N83" i="3"/>
  <c r="B84" i="3"/>
  <c r="M84" i="3"/>
  <c r="F84" i="3"/>
  <c r="N84" i="3"/>
  <c r="B85" i="3"/>
  <c r="M85" i="3"/>
  <c r="F85" i="3"/>
  <c r="N85" i="3"/>
  <c r="B86" i="3"/>
  <c r="M86" i="3"/>
  <c r="F86" i="3"/>
  <c r="N86" i="3"/>
  <c r="B88" i="3"/>
  <c r="M88" i="3"/>
  <c r="F88" i="3"/>
  <c r="N88" i="3"/>
  <c r="B89" i="3"/>
  <c r="M89" i="3"/>
  <c r="F89" i="3"/>
  <c r="N89" i="3"/>
  <c r="B90" i="3"/>
  <c r="M90" i="3"/>
  <c r="F90" i="3"/>
  <c r="N90" i="3"/>
  <c r="B91" i="3"/>
  <c r="M91" i="3"/>
  <c r="F91" i="3"/>
  <c r="N91" i="3"/>
  <c r="B92" i="3"/>
  <c r="M92" i="3"/>
  <c r="F92" i="3"/>
  <c r="N92" i="3"/>
  <c r="B93" i="3"/>
  <c r="M93" i="3"/>
  <c r="F93" i="3"/>
  <c r="N93" i="3"/>
  <c r="B94" i="3"/>
  <c r="M94" i="3"/>
  <c r="F94" i="3"/>
  <c r="N94" i="3"/>
  <c r="B95" i="3"/>
  <c r="M95" i="3"/>
  <c r="F95" i="3"/>
  <c r="N95" i="3"/>
  <c r="B96" i="3"/>
  <c r="M96" i="3"/>
  <c r="F96" i="3"/>
  <c r="N96" i="3"/>
  <c r="B97" i="3"/>
  <c r="M97" i="3"/>
  <c r="F97" i="3"/>
  <c r="N97" i="3"/>
  <c r="B98" i="3"/>
  <c r="M98" i="3"/>
  <c r="F98" i="3"/>
  <c r="N98" i="3"/>
  <c r="B99" i="3"/>
  <c r="M99" i="3"/>
  <c r="F99" i="3"/>
  <c r="N99" i="3"/>
  <c r="B100" i="3"/>
  <c r="M100" i="3"/>
  <c r="F100" i="3"/>
  <c r="N100" i="3"/>
  <c r="B101" i="3"/>
  <c r="M101" i="3"/>
  <c r="F101" i="3"/>
  <c r="N101" i="3"/>
  <c r="B102" i="3"/>
  <c r="M102" i="3"/>
  <c r="F102" i="3"/>
  <c r="N102" i="3"/>
  <c r="B103" i="3"/>
  <c r="M103" i="3"/>
  <c r="F103" i="3"/>
  <c r="N103" i="3"/>
  <c r="B104" i="3"/>
  <c r="M104" i="3"/>
  <c r="F104" i="3"/>
  <c r="N104" i="3"/>
  <c r="B105" i="3"/>
  <c r="M105" i="3"/>
  <c r="F105" i="3"/>
  <c r="N105" i="3"/>
  <c r="B106" i="3"/>
  <c r="M106" i="3"/>
  <c r="F106" i="3"/>
  <c r="N106" i="3"/>
  <c r="B107" i="3"/>
  <c r="M107" i="3"/>
  <c r="F107" i="3"/>
  <c r="N107" i="3"/>
  <c r="B109" i="3"/>
  <c r="M109" i="3"/>
  <c r="F109" i="3"/>
  <c r="N109" i="3"/>
  <c r="B110" i="3"/>
  <c r="M110" i="3"/>
  <c r="F110" i="3"/>
  <c r="N110" i="3"/>
  <c r="B111" i="3"/>
  <c r="M111" i="3"/>
  <c r="F111" i="3"/>
  <c r="N111" i="3"/>
  <c r="B112" i="3"/>
  <c r="M112" i="3"/>
  <c r="F112" i="3"/>
  <c r="N112" i="3"/>
  <c r="B113" i="3"/>
  <c r="M113" i="3"/>
  <c r="F113" i="3"/>
  <c r="N113" i="3"/>
  <c r="B114" i="3"/>
  <c r="M114" i="3"/>
  <c r="F114" i="3"/>
  <c r="N114" i="3"/>
  <c r="B115" i="3"/>
  <c r="M115" i="3"/>
  <c r="F115" i="3"/>
  <c r="N115" i="3"/>
  <c r="B116" i="3"/>
  <c r="M116" i="3"/>
  <c r="F116" i="3"/>
  <c r="N116" i="3"/>
  <c r="B117" i="3"/>
  <c r="M117" i="3"/>
  <c r="F117" i="3"/>
  <c r="N117" i="3"/>
  <c r="B118" i="3"/>
  <c r="M118" i="3"/>
  <c r="F118" i="3"/>
  <c r="N118" i="3"/>
  <c r="B119" i="3"/>
  <c r="M119" i="3"/>
  <c r="F119" i="3"/>
  <c r="N119" i="3"/>
  <c r="B120" i="3"/>
  <c r="M120" i="3"/>
  <c r="F120" i="3"/>
  <c r="N120" i="3"/>
  <c r="B121" i="3"/>
  <c r="M121" i="3"/>
  <c r="F121" i="3"/>
  <c r="N121" i="3"/>
  <c r="B122" i="3"/>
  <c r="M122" i="3"/>
  <c r="F122" i="3"/>
  <c r="N122" i="3"/>
  <c r="B123" i="3"/>
  <c r="M123" i="3"/>
  <c r="F123" i="3"/>
  <c r="N123" i="3"/>
  <c r="B124" i="3"/>
  <c r="M124" i="3"/>
  <c r="F124" i="3"/>
  <c r="N124" i="3"/>
  <c r="B125" i="3"/>
  <c r="M125" i="3"/>
  <c r="F125" i="3"/>
  <c r="N125" i="3"/>
  <c r="B126" i="3"/>
  <c r="M126" i="3"/>
  <c r="F126" i="3"/>
  <c r="N126" i="3"/>
  <c r="B127" i="3"/>
  <c r="M127" i="3"/>
  <c r="F127" i="3"/>
  <c r="N127" i="3"/>
  <c r="B128" i="3"/>
  <c r="M128" i="3"/>
  <c r="F128" i="3"/>
  <c r="N128" i="3"/>
  <c r="B130" i="3"/>
  <c r="M130" i="3"/>
  <c r="F130" i="3"/>
  <c r="N130" i="3"/>
  <c r="B131" i="3"/>
  <c r="M131" i="3"/>
  <c r="F131" i="3"/>
  <c r="N131" i="3"/>
  <c r="B132" i="3"/>
  <c r="M132" i="3"/>
  <c r="F132" i="3"/>
  <c r="N132" i="3"/>
  <c r="B133" i="3"/>
  <c r="M133" i="3"/>
  <c r="F133" i="3"/>
  <c r="N133" i="3"/>
  <c r="B134" i="3"/>
  <c r="M134" i="3"/>
  <c r="F134" i="3"/>
  <c r="N134" i="3"/>
  <c r="B135" i="3"/>
  <c r="M135" i="3"/>
  <c r="F135" i="3"/>
  <c r="N135" i="3"/>
  <c r="B136" i="3"/>
  <c r="M136" i="3"/>
  <c r="F136" i="3"/>
  <c r="N136" i="3"/>
  <c r="B137" i="3"/>
  <c r="M137" i="3"/>
  <c r="F137" i="3"/>
  <c r="N137" i="3"/>
  <c r="B138" i="3"/>
  <c r="M138" i="3"/>
  <c r="F138" i="3"/>
  <c r="N138" i="3"/>
  <c r="B139" i="3"/>
  <c r="M139" i="3"/>
  <c r="F139" i="3"/>
  <c r="N139" i="3"/>
  <c r="B140" i="3"/>
  <c r="M140" i="3"/>
  <c r="F140" i="3"/>
  <c r="N140" i="3"/>
  <c r="B141" i="3"/>
  <c r="M141" i="3"/>
  <c r="F141" i="3"/>
  <c r="N141" i="3"/>
  <c r="B142" i="3"/>
  <c r="M142" i="3"/>
  <c r="F142" i="3"/>
  <c r="N142" i="3"/>
  <c r="B143" i="3"/>
  <c r="M143" i="3"/>
  <c r="F143" i="3"/>
  <c r="N143" i="3"/>
  <c r="B144" i="3"/>
  <c r="M144" i="3"/>
  <c r="F144" i="3"/>
  <c r="N144" i="3"/>
  <c r="B145" i="3"/>
  <c r="M145" i="3"/>
  <c r="F145" i="3"/>
  <c r="N145" i="3"/>
  <c r="B146" i="3"/>
  <c r="M146" i="3"/>
  <c r="F146" i="3"/>
  <c r="N146" i="3"/>
  <c r="B147" i="3"/>
  <c r="M147" i="3"/>
  <c r="F147" i="3"/>
  <c r="N147" i="3"/>
  <c r="B148" i="3"/>
  <c r="M148" i="3"/>
  <c r="F148" i="3"/>
  <c r="N148" i="3"/>
  <c r="B149" i="3"/>
  <c r="M149" i="3"/>
  <c r="F149" i="3"/>
  <c r="N149" i="3"/>
  <c r="G6" i="4"/>
  <c r="D7" i="4"/>
  <c r="G7" i="4"/>
  <c r="D8" i="4"/>
  <c r="G8" i="4"/>
  <c r="D9" i="4"/>
  <c r="G9" i="4"/>
  <c r="D10" i="4"/>
  <c r="G10" i="4"/>
  <c r="D11" i="4"/>
  <c r="G11" i="4"/>
  <c r="D12" i="4"/>
  <c r="G12" i="4"/>
  <c r="D13" i="4"/>
  <c r="G13" i="4"/>
  <c r="O4" i="3"/>
  <c r="O23" i="3"/>
  <c r="O5" i="3"/>
  <c r="O6" i="3"/>
  <c r="O20" i="3"/>
  <c r="O15" i="3"/>
  <c r="O16" i="3"/>
  <c r="O9" i="3"/>
  <c r="O10" i="3"/>
  <c r="O11" i="3"/>
  <c r="O22" i="3"/>
  <c r="O21" i="3"/>
  <c r="O19" i="3"/>
  <c r="O12" i="3"/>
  <c r="O8" i="3"/>
  <c r="O7" i="3"/>
  <c r="O17" i="3"/>
  <c r="O18" i="3"/>
  <c r="O14" i="3"/>
  <c r="O13" i="3"/>
  <c r="O31" i="3"/>
  <c r="O37" i="3"/>
  <c r="O38" i="3"/>
  <c r="O44" i="3"/>
  <c r="O27" i="3"/>
  <c r="O25" i="3"/>
  <c r="O32" i="3"/>
  <c r="O26" i="3"/>
  <c r="O41" i="3"/>
  <c r="O35" i="3"/>
  <c r="O36" i="3"/>
  <c r="O42" i="3"/>
  <c r="O39" i="3"/>
  <c r="O29" i="3"/>
  <c r="O40" i="3"/>
  <c r="O28" i="3"/>
  <c r="O34" i="3"/>
  <c r="O30" i="3"/>
  <c r="O43" i="3"/>
  <c r="O33" i="3"/>
  <c r="O46" i="3"/>
  <c r="O63" i="3"/>
  <c r="O56" i="3"/>
  <c r="O65" i="3"/>
  <c r="O53" i="3"/>
  <c r="O60" i="3"/>
  <c r="O49" i="3"/>
  <c r="O55" i="3"/>
  <c r="O51" i="3"/>
  <c r="O54" i="3"/>
  <c r="O59" i="3"/>
  <c r="O62" i="3"/>
  <c r="O61" i="3"/>
  <c r="O52" i="3"/>
  <c r="O48" i="3"/>
  <c r="O47" i="3"/>
  <c r="O64" i="3"/>
  <c r="O50" i="3"/>
  <c r="O58" i="3"/>
  <c r="O57" i="3"/>
  <c r="O80" i="3"/>
  <c r="O72" i="3"/>
  <c r="O85" i="3"/>
  <c r="O73" i="3"/>
  <c r="O69" i="3"/>
  <c r="O82" i="3"/>
  <c r="O79" i="3"/>
  <c r="O76" i="3"/>
  <c r="O70" i="3"/>
  <c r="O81" i="3"/>
  <c r="O67" i="3"/>
  <c r="O75" i="3"/>
  <c r="O78" i="3"/>
  <c r="O83" i="3"/>
  <c r="O84" i="3"/>
  <c r="O77" i="3"/>
  <c r="O74" i="3"/>
  <c r="O68" i="3"/>
  <c r="O86" i="3"/>
  <c r="O71" i="3"/>
  <c r="O107" i="3"/>
  <c r="O93" i="3"/>
  <c r="O98" i="3"/>
  <c r="O96" i="3"/>
  <c r="O99" i="3"/>
  <c r="O103" i="3"/>
  <c r="O89" i="3"/>
  <c r="O88" i="3"/>
  <c r="O104" i="3"/>
  <c r="O101" i="3"/>
  <c r="O100" i="3"/>
  <c r="O97" i="3"/>
  <c r="O94" i="3"/>
  <c r="O95" i="3"/>
  <c r="O90" i="3"/>
  <c r="O105" i="3"/>
  <c r="O106" i="3"/>
  <c r="O92" i="3"/>
  <c r="O91" i="3"/>
  <c r="O102" i="3"/>
  <c r="O114" i="3"/>
  <c r="O118" i="3"/>
  <c r="O121" i="3"/>
  <c r="O123" i="3"/>
  <c r="O109" i="3"/>
  <c r="O110" i="3"/>
  <c r="O115" i="3"/>
  <c r="O119" i="3"/>
  <c r="O128" i="3"/>
  <c r="O111" i="3"/>
  <c r="O124" i="3"/>
  <c r="O112" i="3"/>
  <c r="O113" i="3"/>
  <c r="O120" i="3"/>
  <c r="O116" i="3"/>
  <c r="O127" i="3"/>
  <c r="O117" i="3"/>
  <c r="O126" i="3"/>
  <c r="O122" i="3"/>
  <c r="O125" i="3"/>
  <c r="O138" i="3"/>
  <c r="O132" i="3"/>
  <c r="O131" i="3"/>
  <c r="O142" i="3"/>
  <c r="O148" i="3"/>
  <c r="O144" i="3"/>
  <c r="O130" i="3"/>
  <c r="O136" i="3"/>
  <c r="O141" i="3"/>
  <c r="O145" i="3"/>
  <c r="O146" i="3"/>
  <c r="O143" i="3"/>
  <c r="O135" i="3"/>
  <c r="O133" i="3"/>
  <c r="O134" i="3"/>
  <c r="O140" i="3"/>
  <c r="O149" i="3"/>
  <c r="O139" i="3"/>
  <c r="O147" i="3"/>
  <c r="O137" i="3"/>
  <c r="H6" i="4"/>
  <c r="P4" i="3"/>
  <c r="Q4" i="3"/>
  <c r="P23" i="3"/>
  <c r="Q23" i="3"/>
  <c r="P5" i="3"/>
  <c r="Q5" i="3"/>
  <c r="P6" i="3"/>
  <c r="Q6" i="3"/>
  <c r="P20" i="3"/>
  <c r="Q20" i="3"/>
  <c r="P15" i="3"/>
  <c r="Q15" i="3"/>
  <c r="P16" i="3"/>
  <c r="Q16" i="3"/>
  <c r="P9" i="3"/>
  <c r="Q9" i="3"/>
  <c r="P10" i="3"/>
  <c r="Q10" i="3"/>
  <c r="P11" i="3"/>
  <c r="Q11" i="3"/>
  <c r="P22" i="3"/>
  <c r="Q22" i="3"/>
  <c r="P21" i="3"/>
  <c r="Q21" i="3"/>
  <c r="P19" i="3"/>
  <c r="Q19" i="3"/>
  <c r="P12" i="3"/>
  <c r="Q12" i="3"/>
  <c r="P8" i="3"/>
  <c r="Q8" i="3"/>
  <c r="P7" i="3"/>
  <c r="Q7" i="3"/>
  <c r="P17" i="3"/>
  <c r="Q17" i="3"/>
  <c r="P18" i="3"/>
  <c r="Q18" i="3"/>
  <c r="P14" i="3"/>
  <c r="Q14" i="3"/>
  <c r="P13" i="3"/>
  <c r="Q13" i="3"/>
  <c r="P31" i="3"/>
  <c r="Q31" i="3"/>
  <c r="P37" i="3"/>
  <c r="Q37" i="3"/>
  <c r="P38" i="3"/>
  <c r="Q38" i="3"/>
  <c r="P44" i="3"/>
  <c r="Q44" i="3"/>
  <c r="P27" i="3"/>
  <c r="Q27" i="3"/>
  <c r="P25" i="3"/>
  <c r="Q25" i="3"/>
  <c r="P32" i="3"/>
  <c r="Q32" i="3"/>
  <c r="P26" i="3"/>
  <c r="Q26" i="3"/>
  <c r="P41" i="3"/>
  <c r="Q41" i="3"/>
  <c r="P35" i="3"/>
  <c r="Q35" i="3"/>
  <c r="P36" i="3"/>
  <c r="Q36" i="3"/>
  <c r="P42" i="3"/>
  <c r="Q42" i="3"/>
  <c r="P39" i="3"/>
  <c r="Q39" i="3"/>
  <c r="P29" i="3"/>
  <c r="Q29" i="3"/>
  <c r="P40" i="3"/>
  <c r="Q40" i="3"/>
  <c r="P28" i="3"/>
  <c r="Q28" i="3"/>
  <c r="P34" i="3"/>
  <c r="Q34" i="3"/>
  <c r="P30" i="3"/>
  <c r="Q30" i="3"/>
  <c r="P43" i="3"/>
  <c r="Q43" i="3"/>
  <c r="P33" i="3"/>
  <c r="Q33" i="3"/>
  <c r="P46" i="3"/>
  <c r="Q46" i="3"/>
  <c r="P63" i="3"/>
  <c r="Q63" i="3"/>
  <c r="P56" i="3"/>
  <c r="Q56" i="3"/>
  <c r="P65" i="3"/>
  <c r="Q65" i="3"/>
  <c r="P53" i="3"/>
  <c r="Q53" i="3"/>
  <c r="P60" i="3"/>
  <c r="Q60" i="3"/>
  <c r="P49" i="3"/>
  <c r="Q49" i="3"/>
  <c r="P55" i="3"/>
  <c r="Q55" i="3"/>
  <c r="P51" i="3"/>
  <c r="Q51" i="3"/>
  <c r="P54" i="3"/>
  <c r="Q54" i="3"/>
  <c r="P59" i="3"/>
  <c r="Q59" i="3"/>
  <c r="P62" i="3"/>
  <c r="Q62" i="3"/>
  <c r="P61" i="3"/>
  <c r="Q61" i="3"/>
  <c r="P52" i="3"/>
  <c r="Q52" i="3"/>
  <c r="P48" i="3"/>
  <c r="Q48" i="3"/>
  <c r="P47" i="3"/>
  <c r="Q47" i="3"/>
  <c r="P64" i="3"/>
  <c r="Q64" i="3"/>
  <c r="P50" i="3"/>
  <c r="Q50" i="3"/>
  <c r="P58" i="3"/>
  <c r="Q58" i="3"/>
  <c r="P57" i="3"/>
  <c r="Q57" i="3"/>
  <c r="P80" i="3"/>
  <c r="Q80" i="3"/>
  <c r="P72" i="3"/>
  <c r="Q72" i="3"/>
  <c r="P85" i="3"/>
  <c r="Q85" i="3"/>
  <c r="P73" i="3"/>
  <c r="Q73" i="3"/>
  <c r="P69" i="3"/>
  <c r="Q69" i="3"/>
  <c r="P82" i="3"/>
  <c r="Q82" i="3"/>
  <c r="P79" i="3"/>
  <c r="Q79" i="3"/>
  <c r="P76" i="3"/>
  <c r="Q76" i="3"/>
  <c r="P70" i="3"/>
  <c r="Q70" i="3"/>
  <c r="P81" i="3"/>
  <c r="Q81" i="3"/>
  <c r="P67" i="3"/>
  <c r="Q67" i="3"/>
  <c r="P75" i="3"/>
  <c r="Q75" i="3"/>
  <c r="P78" i="3"/>
  <c r="Q78" i="3"/>
  <c r="P83" i="3"/>
  <c r="Q83" i="3"/>
  <c r="P84" i="3"/>
  <c r="Q84" i="3"/>
  <c r="P77" i="3"/>
  <c r="Q77" i="3"/>
  <c r="P74" i="3"/>
  <c r="Q74" i="3"/>
  <c r="P68" i="3"/>
  <c r="Q68" i="3"/>
  <c r="P86" i="3"/>
  <c r="Q86" i="3"/>
  <c r="P71" i="3"/>
  <c r="Q71" i="3"/>
  <c r="P107" i="3"/>
  <c r="Q107" i="3"/>
  <c r="P93" i="3"/>
  <c r="Q93" i="3"/>
  <c r="P98" i="3"/>
  <c r="Q98" i="3"/>
  <c r="P96" i="3"/>
  <c r="Q96" i="3"/>
  <c r="P99" i="3"/>
  <c r="Q99" i="3"/>
  <c r="P103" i="3"/>
  <c r="Q103" i="3"/>
  <c r="P89" i="3"/>
  <c r="Q89" i="3"/>
  <c r="P88" i="3"/>
  <c r="Q88" i="3"/>
  <c r="P104" i="3"/>
  <c r="Q104" i="3"/>
  <c r="P101" i="3"/>
  <c r="Q101" i="3"/>
  <c r="P100" i="3"/>
  <c r="Q100" i="3"/>
  <c r="P97" i="3"/>
  <c r="Q97" i="3"/>
  <c r="P94" i="3"/>
  <c r="Q94" i="3"/>
  <c r="P95" i="3"/>
  <c r="Q95" i="3"/>
  <c r="P90" i="3"/>
  <c r="Q90" i="3"/>
  <c r="P105" i="3"/>
  <c r="Q105" i="3"/>
  <c r="P106" i="3"/>
  <c r="Q106" i="3"/>
  <c r="P92" i="3"/>
  <c r="Q92" i="3"/>
  <c r="P91" i="3"/>
  <c r="Q91" i="3"/>
  <c r="P102" i="3"/>
  <c r="Q102" i="3"/>
  <c r="P114" i="3"/>
  <c r="Q114" i="3"/>
  <c r="P118" i="3"/>
  <c r="Q118" i="3"/>
  <c r="P121" i="3"/>
  <c r="Q121" i="3"/>
  <c r="P123" i="3"/>
  <c r="Q123" i="3"/>
  <c r="P109" i="3"/>
  <c r="Q109" i="3"/>
  <c r="P110" i="3"/>
  <c r="Q110" i="3"/>
  <c r="P115" i="3"/>
  <c r="Q115" i="3"/>
  <c r="P119" i="3"/>
  <c r="Q119" i="3"/>
  <c r="P128" i="3"/>
  <c r="Q128" i="3"/>
  <c r="P111" i="3"/>
  <c r="Q111" i="3"/>
  <c r="P124" i="3"/>
  <c r="Q124" i="3"/>
  <c r="P112" i="3"/>
  <c r="Q112" i="3"/>
  <c r="P113" i="3"/>
  <c r="Q113" i="3"/>
  <c r="P120" i="3"/>
  <c r="Q120" i="3"/>
  <c r="P116" i="3"/>
  <c r="Q116" i="3"/>
  <c r="P127" i="3"/>
  <c r="Q127" i="3"/>
  <c r="P117" i="3"/>
  <c r="Q117" i="3"/>
  <c r="P126" i="3"/>
  <c r="Q126" i="3"/>
  <c r="P122" i="3"/>
  <c r="Q122" i="3"/>
  <c r="P125" i="3"/>
  <c r="Q125" i="3"/>
  <c r="P138" i="3"/>
  <c r="Q138" i="3"/>
  <c r="P132" i="3"/>
  <c r="Q132" i="3"/>
  <c r="P131" i="3"/>
  <c r="Q131" i="3"/>
  <c r="P142" i="3"/>
  <c r="Q142" i="3"/>
  <c r="P148" i="3"/>
  <c r="Q148" i="3"/>
  <c r="P144" i="3"/>
  <c r="Q144" i="3"/>
  <c r="P130" i="3"/>
  <c r="Q130" i="3"/>
  <c r="P136" i="3"/>
  <c r="Q136" i="3"/>
  <c r="P141" i="3"/>
  <c r="Q141" i="3"/>
  <c r="P145" i="3"/>
  <c r="Q145" i="3"/>
  <c r="P146" i="3"/>
  <c r="Q146" i="3"/>
  <c r="P143" i="3"/>
  <c r="Q143" i="3"/>
  <c r="P135" i="3"/>
  <c r="Q135" i="3"/>
  <c r="P133" i="3"/>
  <c r="Q133" i="3"/>
  <c r="P134" i="3"/>
  <c r="Q134" i="3"/>
  <c r="P140" i="3"/>
  <c r="Q140" i="3"/>
  <c r="P149" i="3"/>
  <c r="Q149" i="3"/>
  <c r="P139" i="3"/>
  <c r="Q139" i="3"/>
  <c r="P147" i="3"/>
  <c r="Q147" i="3"/>
  <c r="P137" i="3"/>
  <c r="Q137" i="3"/>
  <c r="I6" i="4"/>
  <c r="F6" i="4"/>
  <c r="E6" i="4"/>
  <c r="S4" i="3"/>
  <c r="U4" i="3"/>
  <c r="V4" i="3"/>
  <c r="T4" i="3"/>
  <c r="S23" i="3"/>
  <c r="U23" i="3"/>
  <c r="V23" i="3"/>
  <c r="T23" i="3"/>
  <c r="S5" i="3"/>
  <c r="T5" i="3"/>
  <c r="U5" i="3"/>
  <c r="V5" i="3"/>
  <c r="S6" i="3"/>
  <c r="U6" i="3"/>
  <c r="V6" i="3"/>
  <c r="T6" i="3"/>
  <c r="S20" i="3"/>
  <c r="T20" i="3"/>
  <c r="U20" i="3"/>
  <c r="V20" i="3"/>
  <c r="S15" i="3"/>
  <c r="T15" i="3"/>
  <c r="U15" i="3"/>
  <c r="V15" i="3"/>
  <c r="S16" i="3"/>
  <c r="U16" i="3"/>
  <c r="V16" i="3"/>
  <c r="T16" i="3"/>
  <c r="S9" i="3"/>
  <c r="T9" i="3"/>
  <c r="U9" i="3"/>
  <c r="V9" i="3"/>
  <c r="S10" i="3"/>
  <c r="T10" i="3"/>
  <c r="U10" i="3"/>
  <c r="V10" i="3"/>
  <c r="S11" i="3"/>
  <c r="T11" i="3"/>
  <c r="U11" i="3"/>
  <c r="V11" i="3"/>
  <c r="S22" i="3"/>
  <c r="T22" i="3"/>
  <c r="U22" i="3"/>
  <c r="V22" i="3"/>
  <c r="S21" i="3"/>
  <c r="U21" i="3"/>
  <c r="V21" i="3"/>
  <c r="T21" i="3"/>
  <c r="S19" i="3"/>
  <c r="T19" i="3"/>
  <c r="U19" i="3"/>
  <c r="V19" i="3"/>
  <c r="S12" i="3"/>
  <c r="T12" i="3"/>
  <c r="U12" i="3"/>
  <c r="V12" i="3"/>
  <c r="S8" i="3"/>
  <c r="T8" i="3"/>
  <c r="U8" i="3"/>
  <c r="V8" i="3"/>
  <c r="S7" i="3"/>
  <c r="T7" i="3"/>
  <c r="U7" i="3"/>
  <c r="V7" i="3"/>
  <c r="S17" i="3"/>
  <c r="T17" i="3"/>
  <c r="U17" i="3"/>
  <c r="V17" i="3"/>
  <c r="S18" i="3"/>
  <c r="T18" i="3"/>
  <c r="U18" i="3"/>
  <c r="V18" i="3"/>
  <c r="S14" i="3"/>
  <c r="T14" i="3"/>
  <c r="U14" i="3"/>
  <c r="V14" i="3"/>
  <c r="S13" i="3"/>
  <c r="U13" i="3"/>
  <c r="V13" i="3"/>
  <c r="T13" i="3"/>
  <c r="S31" i="3"/>
  <c r="T31" i="3"/>
  <c r="U31" i="3"/>
  <c r="V31" i="3"/>
  <c r="S37" i="3"/>
  <c r="T37" i="3"/>
  <c r="U37" i="3"/>
  <c r="V37" i="3"/>
  <c r="S38" i="3"/>
  <c r="T38" i="3"/>
  <c r="U38" i="3"/>
  <c r="V38" i="3"/>
  <c r="S44" i="3"/>
  <c r="T44" i="3"/>
  <c r="U44" i="3"/>
  <c r="V44" i="3"/>
  <c r="S27" i="3"/>
  <c r="T27" i="3"/>
  <c r="U27" i="3"/>
  <c r="V27" i="3"/>
  <c r="S25" i="3"/>
  <c r="T25" i="3"/>
  <c r="U25" i="3"/>
  <c r="V25" i="3"/>
  <c r="S32" i="3"/>
  <c r="T32" i="3"/>
  <c r="U32" i="3"/>
  <c r="V32" i="3"/>
  <c r="S26" i="3"/>
  <c r="T26" i="3"/>
  <c r="U26" i="3"/>
  <c r="V26" i="3"/>
  <c r="S41" i="3"/>
  <c r="T41" i="3"/>
  <c r="U41" i="3"/>
  <c r="V41" i="3"/>
  <c r="S35" i="3"/>
  <c r="T35" i="3"/>
  <c r="U35" i="3"/>
  <c r="V35" i="3"/>
  <c r="S36" i="3"/>
  <c r="T36" i="3"/>
  <c r="U36" i="3"/>
  <c r="V36" i="3"/>
  <c r="S42" i="3"/>
  <c r="T42" i="3"/>
  <c r="U42" i="3"/>
  <c r="V42" i="3"/>
  <c r="S39" i="3"/>
  <c r="T39" i="3"/>
  <c r="U39" i="3"/>
  <c r="V39" i="3"/>
  <c r="S29" i="3"/>
  <c r="T29" i="3"/>
  <c r="U29" i="3"/>
  <c r="V29" i="3"/>
  <c r="S40" i="3"/>
  <c r="T40" i="3"/>
  <c r="U40" i="3"/>
  <c r="V40" i="3"/>
  <c r="S28" i="3"/>
  <c r="T28" i="3"/>
  <c r="U28" i="3"/>
  <c r="V28" i="3"/>
  <c r="S34" i="3"/>
  <c r="T34" i="3"/>
  <c r="U34" i="3"/>
  <c r="V34" i="3"/>
  <c r="S30" i="3"/>
  <c r="U30" i="3"/>
  <c r="V30" i="3"/>
  <c r="T30" i="3"/>
  <c r="S43" i="3"/>
  <c r="T43" i="3"/>
  <c r="U43" i="3"/>
  <c r="V43" i="3"/>
  <c r="S33" i="3"/>
  <c r="T33" i="3"/>
  <c r="U33" i="3"/>
  <c r="V33" i="3"/>
  <c r="S46" i="3"/>
  <c r="T46" i="3"/>
  <c r="U46" i="3"/>
  <c r="V46" i="3"/>
  <c r="S63" i="3"/>
  <c r="T63" i="3"/>
  <c r="U63" i="3"/>
  <c r="V63" i="3"/>
  <c r="S56" i="3"/>
  <c r="T56" i="3"/>
  <c r="U56" i="3"/>
  <c r="V56" i="3"/>
  <c r="S65" i="3"/>
  <c r="T65" i="3"/>
  <c r="U65" i="3"/>
  <c r="V65" i="3"/>
  <c r="S53" i="3"/>
  <c r="T53" i="3"/>
  <c r="U53" i="3"/>
  <c r="V53" i="3"/>
  <c r="S60" i="3"/>
  <c r="T60" i="3"/>
  <c r="U60" i="3"/>
  <c r="V60" i="3"/>
  <c r="S49" i="3"/>
  <c r="T49" i="3"/>
  <c r="U49" i="3"/>
  <c r="V49" i="3"/>
  <c r="S55" i="3"/>
  <c r="T55" i="3"/>
  <c r="U55" i="3"/>
  <c r="V55" i="3"/>
  <c r="S51" i="3"/>
  <c r="T51" i="3"/>
  <c r="U51" i="3"/>
  <c r="V51" i="3"/>
  <c r="S54" i="3"/>
  <c r="T54" i="3"/>
  <c r="U54" i="3"/>
  <c r="V54" i="3"/>
  <c r="S59" i="3"/>
  <c r="T59" i="3"/>
  <c r="U59" i="3"/>
  <c r="V59" i="3"/>
  <c r="S62" i="3"/>
  <c r="T62" i="3"/>
  <c r="U62" i="3"/>
  <c r="V62" i="3"/>
  <c r="S61" i="3"/>
  <c r="T61" i="3"/>
  <c r="U61" i="3"/>
  <c r="V61" i="3"/>
  <c r="S52" i="3"/>
  <c r="T52" i="3"/>
  <c r="U52" i="3"/>
  <c r="V52" i="3"/>
  <c r="S48" i="3"/>
  <c r="U48" i="3"/>
  <c r="V48" i="3"/>
  <c r="T48" i="3"/>
  <c r="S47" i="3"/>
  <c r="T47" i="3"/>
  <c r="U47" i="3"/>
  <c r="V47" i="3"/>
  <c r="S64" i="3"/>
  <c r="T64" i="3"/>
  <c r="U64" i="3"/>
  <c r="V64" i="3"/>
  <c r="S50" i="3"/>
  <c r="T50" i="3"/>
  <c r="U50" i="3"/>
  <c r="V50" i="3"/>
  <c r="S58" i="3"/>
  <c r="T58" i="3"/>
  <c r="U58" i="3"/>
  <c r="V58" i="3"/>
  <c r="S57" i="3"/>
  <c r="U57" i="3"/>
  <c r="V57" i="3"/>
  <c r="T57" i="3"/>
  <c r="S80" i="3"/>
  <c r="T80" i="3"/>
  <c r="U80" i="3"/>
  <c r="V80" i="3"/>
  <c r="S72" i="3"/>
  <c r="T72" i="3"/>
  <c r="U72" i="3"/>
  <c r="V72" i="3"/>
  <c r="S85" i="3"/>
  <c r="T85" i="3"/>
  <c r="U85" i="3"/>
  <c r="V85" i="3"/>
  <c r="S73" i="3"/>
  <c r="T73" i="3"/>
  <c r="U73" i="3"/>
  <c r="V73" i="3"/>
  <c r="S69" i="3"/>
  <c r="T69" i="3"/>
  <c r="U69" i="3"/>
  <c r="V69" i="3"/>
  <c r="S82" i="3"/>
  <c r="T82" i="3"/>
  <c r="U82" i="3"/>
  <c r="V82" i="3"/>
  <c r="S79" i="3"/>
  <c r="T79" i="3"/>
  <c r="U79" i="3"/>
  <c r="V79" i="3"/>
  <c r="S76" i="3"/>
  <c r="T76" i="3"/>
  <c r="U76" i="3"/>
  <c r="V76" i="3"/>
  <c r="S70" i="3"/>
  <c r="U70" i="3"/>
  <c r="V70" i="3"/>
  <c r="T70" i="3"/>
  <c r="S81" i="3"/>
  <c r="T81" i="3"/>
  <c r="U81" i="3"/>
  <c r="V81" i="3"/>
  <c r="S67" i="3"/>
  <c r="T67" i="3"/>
  <c r="U67" i="3"/>
  <c r="V67" i="3"/>
  <c r="S75" i="3"/>
  <c r="T75" i="3"/>
  <c r="U75" i="3"/>
  <c r="V75" i="3"/>
  <c r="S78" i="3"/>
  <c r="T78" i="3"/>
  <c r="U78" i="3"/>
  <c r="V78" i="3"/>
  <c r="S83" i="3"/>
  <c r="U83" i="3"/>
  <c r="V83" i="3"/>
  <c r="T83" i="3"/>
  <c r="S84" i="3"/>
  <c r="T84" i="3"/>
  <c r="U84" i="3"/>
  <c r="V84" i="3"/>
  <c r="S77" i="3"/>
  <c r="T77" i="3"/>
  <c r="U77" i="3"/>
  <c r="V77" i="3"/>
  <c r="S74" i="3"/>
  <c r="T74" i="3"/>
  <c r="U74" i="3"/>
  <c r="V74" i="3"/>
  <c r="S68" i="3"/>
  <c r="U68" i="3"/>
  <c r="V68" i="3"/>
  <c r="T68" i="3"/>
  <c r="S86" i="3"/>
  <c r="T86" i="3"/>
  <c r="U86" i="3"/>
  <c r="V86" i="3"/>
  <c r="S71" i="3"/>
  <c r="T71" i="3"/>
  <c r="U71" i="3"/>
  <c r="V71" i="3"/>
  <c r="S107" i="3"/>
  <c r="T107" i="3"/>
  <c r="U107" i="3"/>
  <c r="V107" i="3"/>
  <c r="S93" i="3"/>
  <c r="T93" i="3"/>
  <c r="U93" i="3"/>
  <c r="V93" i="3"/>
  <c r="S98" i="3"/>
  <c r="T98" i="3"/>
  <c r="U98" i="3"/>
  <c r="V98" i="3"/>
  <c r="S96" i="3"/>
  <c r="T96" i="3"/>
  <c r="U96" i="3"/>
  <c r="V96" i="3"/>
  <c r="S99" i="3"/>
  <c r="T99" i="3"/>
  <c r="U99" i="3"/>
  <c r="V99" i="3"/>
  <c r="S103" i="3"/>
  <c r="T103" i="3"/>
  <c r="U103" i="3"/>
  <c r="V103" i="3"/>
  <c r="S89" i="3"/>
  <c r="U89" i="3"/>
  <c r="V89" i="3"/>
  <c r="T89" i="3"/>
  <c r="S88" i="3"/>
  <c r="T88" i="3"/>
  <c r="U88" i="3"/>
  <c r="V88" i="3"/>
  <c r="S104" i="3"/>
  <c r="T104" i="3"/>
  <c r="U104" i="3"/>
  <c r="V104" i="3"/>
  <c r="S101" i="3"/>
  <c r="U101" i="3"/>
  <c r="V101" i="3"/>
  <c r="T101" i="3"/>
  <c r="S100" i="3"/>
  <c r="T100" i="3"/>
  <c r="U100" i="3"/>
  <c r="V100" i="3"/>
  <c r="S97" i="3"/>
  <c r="T97" i="3"/>
  <c r="U97" i="3"/>
  <c r="V97" i="3"/>
  <c r="S94" i="3"/>
  <c r="T94" i="3"/>
  <c r="U94" i="3"/>
  <c r="V94" i="3"/>
  <c r="S95" i="3"/>
  <c r="T95" i="3"/>
  <c r="U95" i="3"/>
  <c r="V95" i="3"/>
  <c r="S90" i="3"/>
  <c r="T90" i="3"/>
  <c r="U90" i="3"/>
  <c r="V90" i="3"/>
  <c r="S105" i="3"/>
  <c r="U105" i="3"/>
  <c r="V105" i="3"/>
  <c r="T105" i="3"/>
  <c r="S106" i="3"/>
  <c r="T106" i="3"/>
  <c r="U106" i="3"/>
  <c r="V106" i="3"/>
  <c r="S92" i="3"/>
  <c r="T92" i="3"/>
  <c r="U92" i="3"/>
  <c r="V92" i="3"/>
  <c r="S91" i="3"/>
  <c r="U91" i="3"/>
  <c r="V91" i="3"/>
  <c r="T91" i="3"/>
  <c r="S102" i="3"/>
  <c r="T102" i="3"/>
  <c r="U102" i="3"/>
  <c r="V102" i="3"/>
  <c r="S114" i="3"/>
  <c r="T114" i="3"/>
  <c r="U114" i="3"/>
  <c r="V114" i="3"/>
  <c r="S118" i="3"/>
  <c r="T118" i="3"/>
  <c r="U118" i="3"/>
  <c r="V118" i="3"/>
  <c r="S121" i="3"/>
  <c r="T121" i="3"/>
  <c r="U121" i="3"/>
  <c r="V121" i="3"/>
  <c r="S123" i="3"/>
  <c r="T123" i="3"/>
  <c r="U123" i="3"/>
  <c r="V123" i="3"/>
  <c r="S109" i="3"/>
  <c r="T109" i="3"/>
  <c r="U109" i="3"/>
  <c r="V109" i="3"/>
  <c r="S110" i="3"/>
  <c r="U110" i="3"/>
  <c r="V110" i="3"/>
  <c r="T110" i="3"/>
  <c r="S115" i="3"/>
  <c r="T115" i="3"/>
  <c r="U115" i="3"/>
  <c r="V115" i="3"/>
  <c r="S119" i="3"/>
  <c r="U119" i="3"/>
  <c r="V119" i="3"/>
  <c r="T119" i="3"/>
  <c r="S128" i="3"/>
  <c r="U128" i="3"/>
  <c r="V128" i="3"/>
  <c r="T128" i="3"/>
  <c r="S111" i="3"/>
  <c r="T111" i="3"/>
  <c r="U111" i="3"/>
  <c r="V111" i="3"/>
  <c r="S124" i="3"/>
  <c r="T124" i="3"/>
  <c r="U124" i="3"/>
  <c r="V124" i="3"/>
  <c r="S112" i="3"/>
  <c r="T112" i="3"/>
  <c r="U112" i="3"/>
  <c r="V112" i="3"/>
  <c r="S113" i="3"/>
  <c r="T113" i="3"/>
  <c r="U113" i="3"/>
  <c r="V113" i="3"/>
  <c r="S120" i="3"/>
  <c r="T120" i="3"/>
  <c r="U120" i="3"/>
  <c r="V120" i="3"/>
  <c r="S116" i="3"/>
  <c r="T116" i="3"/>
  <c r="U116" i="3"/>
  <c r="V116" i="3"/>
  <c r="S127" i="3"/>
  <c r="T127" i="3"/>
  <c r="U127" i="3"/>
  <c r="V127" i="3"/>
  <c r="S117" i="3"/>
  <c r="U117" i="3"/>
  <c r="V117" i="3"/>
  <c r="T117" i="3"/>
  <c r="S126" i="3"/>
  <c r="T126" i="3"/>
  <c r="U126" i="3"/>
  <c r="V126" i="3"/>
  <c r="S122" i="3"/>
  <c r="T122" i="3"/>
  <c r="U122" i="3"/>
  <c r="V122" i="3"/>
  <c r="S125" i="3"/>
  <c r="U125" i="3"/>
  <c r="V125" i="3"/>
  <c r="T125" i="3"/>
  <c r="S138" i="3"/>
  <c r="U138" i="3"/>
  <c r="V138" i="3"/>
  <c r="T138" i="3"/>
  <c r="S132" i="3"/>
  <c r="U132" i="3"/>
  <c r="V132" i="3"/>
  <c r="T132" i="3"/>
  <c r="S131" i="3"/>
  <c r="T131" i="3"/>
  <c r="U131" i="3"/>
  <c r="V131" i="3"/>
  <c r="S142" i="3"/>
  <c r="T142" i="3"/>
  <c r="U142" i="3"/>
  <c r="V142" i="3"/>
  <c r="S148" i="3"/>
  <c r="U148" i="3"/>
  <c r="V148" i="3"/>
  <c r="T148" i="3"/>
  <c r="S144" i="3"/>
  <c r="T144" i="3"/>
  <c r="U144" i="3"/>
  <c r="V144" i="3"/>
  <c r="S130" i="3"/>
  <c r="U130" i="3"/>
  <c r="V130" i="3"/>
  <c r="T130" i="3"/>
  <c r="S136" i="3"/>
  <c r="T136" i="3"/>
  <c r="U136" i="3"/>
  <c r="V136" i="3"/>
  <c r="S141" i="3"/>
  <c r="T141" i="3"/>
  <c r="U141" i="3"/>
  <c r="V141" i="3"/>
  <c r="S145" i="3"/>
  <c r="T145" i="3"/>
  <c r="U145" i="3"/>
  <c r="V145" i="3"/>
  <c r="S146" i="3"/>
  <c r="T146" i="3"/>
  <c r="U146" i="3"/>
  <c r="V146" i="3"/>
  <c r="S143" i="3"/>
  <c r="T143" i="3"/>
  <c r="U143" i="3"/>
  <c r="V143" i="3"/>
  <c r="S135" i="3"/>
  <c r="T135" i="3"/>
  <c r="U135" i="3"/>
  <c r="V135" i="3"/>
  <c r="S133" i="3"/>
  <c r="T133" i="3"/>
  <c r="U133" i="3"/>
  <c r="V133" i="3"/>
  <c r="S134" i="3"/>
  <c r="T134" i="3"/>
  <c r="U134" i="3"/>
  <c r="V134" i="3"/>
  <c r="S140" i="3"/>
  <c r="U140" i="3"/>
  <c r="V140" i="3"/>
  <c r="T140" i="3"/>
  <c r="S149" i="3"/>
  <c r="T149" i="3"/>
  <c r="U149" i="3"/>
  <c r="V149" i="3"/>
  <c r="S139" i="3"/>
  <c r="T139" i="3"/>
  <c r="U139" i="3"/>
  <c r="V139" i="3"/>
  <c r="S147" i="3"/>
  <c r="T147" i="3"/>
  <c r="U147" i="3"/>
  <c r="V147" i="3"/>
  <c r="S137" i="3"/>
  <c r="T137" i="3"/>
  <c r="U137" i="3"/>
  <c r="V137" i="3"/>
  <c r="K6" i="4"/>
  <c r="L6" i="4"/>
  <c r="M6" i="4"/>
  <c r="N6" i="4"/>
  <c r="H7" i="4"/>
  <c r="I7" i="4"/>
  <c r="F7" i="4"/>
  <c r="E7" i="4"/>
  <c r="K7" i="4"/>
  <c r="W70" i="3"/>
  <c r="W110" i="3"/>
  <c r="W130" i="3"/>
  <c r="W90" i="3"/>
  <c r="L7" i="4"/>
  <c r="M7" i="4"/>
  <c r="N7" i="4"/>
  <c r="H8" i="4"/>
  <c r="I8" i="4"/>
  <c r="F8" i="4"/>
  <c r="E8" i="4"/>
  <c r="K8" i="4"/>
  <c r="W89" i="3"/>
  <c r="W49" i="3"/>
  <c r="W69" i="3"/>
  <c r="W109" i="3"/>
  <c r="L8" i="4"/>
  <c r="M8" i="4"/>
  <c r="N8" i="4"/>
  <c r="H9" i="4"/>
  <c r="I9" i="4"/>
  <c r="F9" i="4"/>
  <c r="E9" i="4"/>
  <c r="K9" i="4"/>
  <c r="W48" i="3"/>
  <c r="W68" i="3"/>
  <c r="W28" i="3"/>
  <c r="W88" i="3"/>
  <c r="L9" i="4"/>
  <c r="M9" i="4"/>
  <c r="N9" i="4"/>
  <c r="H10" i="4"/>
  <c r="I10" i="4"/>
  <c r="F10" i="4"/>
  <c r="E10" i="4"/>
  <c r="K10" i="4"/>
  <c r="W4" i="3"/>
  <c r="W91" i="3"/>
  <c r="W111" i="3"/>
  <c r="W131" i="3"/>
  <c r="L10" i="4"/>
  <c r="M10" i="4"/>
  <c r="N10" i="4"/>
  <c r="H11" i="4"/>
  <c r="I11" i="4"/>
  <c r="F11" i="4"/>
  <c r="E11" i="4"/>
  <c r="K11" i="4"/>
  <c r="W132" i="3"/>
  <c r="W5" i="3"/>
  <c r="W25" i="3"/>
  <c r="W112" i="3"/>
  <c r="L11" i="4"/>
  <c r="M11" i="4"/>
  <c r="N11" i="4"/>
  <c r="H12" i="4"/>
  <c r="I12" i="4"/>
  <c r="F12" i="4"/>
  <c r="E12" i="4"/>
  <c r="K12" i="4"/>
  <c r="W6" i="3"/>
  <c r="W26" i="3"/>
  <c r="W46" i="3"/>
  <c r="W133" i="3"/>
  <c r="L12" i="4"/>
  <c r="M12" i="4"/>
  <c r="N12" i="4"/>
  <c r="H13" i="4"/>
  <c r="I13" i="4"/>
  <c r="F13" i="4"/>
  <c r="E13" i="4"/>
  <c r="K13" i="4"/>
  <c r="W7" i="3"/>
  <c r="W27" i="3"/>
  <c r="W47" i="3"/>
  <c r="W67" i="3"/>
  <c r="L13" i="4"/>
  <c r="M13" i="4"/>
  <c r="N13" i="4"/>
  <c r="C6" i="4"/>
  <c r="A6" i="4"/>
  <c r="C7" i="4"/>
  <c r="A7" i="4"/>
  <c r="C8" i="4"/>
  <c r="A8" i="4"/>
  <c r="C9" i="4"/>
  <c r="A9" i="4"/>
  <c r="R4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106" i="3"/>
  <c r="R107" i="3"/>
  <c r="R109" i="3"/>
  <c r="R110" i="3"/>
  <c r="R111" i="3"/>
  <c r="R112" i="3"/>
  <c r="R113" i="3"/>
  <c r="R114" i="3"/>
  <c r="R115" i="3"/>
  <c r="R116" i="3"/>
  <c r="R117" i="3"/>
  <c r="R118" i="3"/>
  <c r="R119" i="3"/>
  <c r="R120" i="3"/>
  <c r="R121" i="3"/>
  <c r="R122" i="3"/>
  <c r="R123" i="3"/>
  <c r="R124" i="3"/>
  <c r="R125" i="3"/>
  <c r="R126" i="3"/>
  <c r="R127" i="3"/>
  <c r="R128" i="3"/>
  <c r="R130" i="3"/>
  <c r="R131" i="3"/>
  <c r="R132" i="3"/>
  <c r="R133" i="3"/>
  <c r="R134" i="3"/>
  <c r="R135" i="3"/>
  <c r="R136" i="3"/>
  <c r="R137" i="3"/>
  <c r="R138" i="3"/>
  <c r="R139" i="3"/>
  <c r="R140" i="3"/>
  <c r="R141" i="3"/>
  <c r="R142" i="3"/>
  <c r="R143" i="3"/>
  <c r="R144" i="3"/>
  <c r="R145" i="3"/>
  <c r="R146" i="3"/>
  <c r="R147" i="3"/>
  <c r="R148" i="3"/>
  <c r="R149" i="3"/>
  <c r="J6" i="4"/>
  <c r="P6" i="4"/>
  <c r="J7" i="4"/>
  <c r="P7" i="4"/>
  <c r="J8" i="4"/>
  <c r="P8" i="4"/>
  <c r="J9" i="4"/>
  <c r="P9" i="4"/>
  <c r="C10" i="4"/>
  <c r="A10" i="4"/>
  <c r="J10" i="4"/>
  <c r="P10" i="4"/>
  <c r="C11" i="4"/>
  <c r="A11" i="4"/>
  <c r="J11" i="4"/>
  <c r="P11" i="4"/>
  <c r="C12" i="4"/>
  <c r="A12" i="4"/>
  <c r="J12" i="4"/>
  <c r="P12" i="4"/>
  <c r="C13" i="4"/>
  <c r="A13" i="4"/>
  <c r="J13" i="4"/>
  <c r="P13" i="4"/>
  <c r="D16" i="4"/>
  <c r="G16" i="4"/>
  <c r="D17" i="4"/>
  <c r="G17" i="4"/>
  <c r="D18" i="4"/>
  <c r="G18" i="4"/>
  <c r="D19" i="4"/>
  <c r="G19" i="4"/>
  <c r="D20" i="4"/>
  <c r="G20" i="4"/>
  <c r="D21" i="4"/>
  <c r="G21" i="4"/>
  <c r="D22" i="4"/>
  <c r="G22" i="4"/>
  <c r="D23" i="4"/>
  <c r="G23" i="4"/>
  <c r="H16" i="4"/>
  <c r="I16" i="4"/>
  <c r="F16" i="4"/>
  <c r="E16" i="4"/>
  <c r="K16" i="4"/>
  <c r="L16" i="4"/>
  <c r="M16" i="4"/>
  <c r="N16" i="4"/>
  <c r="H17" i="4"/>
  <c r="I17" i="4"/>
  <c r="F17" i="4"/>
  <c r="E17" i="4"/>
  <c r="K17" i="4"/>
  <c r="W74" i="3"/>
  <c r="W94" i="3"/>
  <c r="W114" i="3"/>
  <c r="W134" i="3"/>
  <c r="L17" i="4"/>
  <c r="M17" i="4"/>
  <c r="N17" i="4"/>
  <c r="H18" i="4"/>
  <c r="I18" i="4"/>
  <c r="F18" i="4"/>
  <c r="E18" i="4"/>
  <c r="K18" i="4"/>
  <c r="W53" i="3"/>
  <c r="W73" i="3"/>
  <c r="W93" i="3"/>
  <c r="W113" i="3"/>
  <c r="L18" i="4"/>
  <c r="M18" i="4"/>
  <c r="N18" i="4"/>
  <c r="H19" i="4"/>
  <c r="I19" i="4"/>
  <c r="F19" i="4"/>
  <c r="E19" i="4"/>
  <c r="K19" i="4"/>
  <c r="W52" i="3"/>
  <c r="W32" i="3"/>
  <c r="W72" i="3"/>
  <c r="W92" i="3"/>
  <c r="L19" i="4"/>
  <c r="M19" i="4"/>
  <c r="N19" i="4"/>
  <c r="H20" i="4"/>
  <c r="I20" i="4"/>
  <c r="F20" i="4"/>
  <c r="E20" i="4"/>
  <c r="K20" i="4"/>
  <c r="W8" i="3"/>
  <c r="W95" i="3"/>
  <c r="W115" i="3"/>
  <c r="W135" i="3"/>
  <c r="L20" i="4"/>
  <c r="M20" i="4"/>
  <c r="N20" i="4"/>
  <c r="H21" i="4"/>
  <c r="I21" i="4"/>
  <c r="F21" i="4"/>
  <c r="E21" i="4"/>
  <c r="K21" i="4"/>
  <c r="W9" i="3"/>
  <c r="W29" i="3"/>
  <c r="W116" i="3"/>
  <c r="W136" i="3"/>
  <c r="L21" i="4"/>
  <c r="M21" i="4"/>
  <c r="N21" i="4"/>
  <c r="H22" i="4"/>
  <c r="I22" i="4"/>
  <c r="F22" i="4"/>
  <c r="E22" i="4"/>
  <c r="K22" i="4"/>
  <c r="W30" i="3"/>
  <c r="W10" i="3"/>
  <c r="W50" i="3"/>
  <c r="W137" i="3"/>
  <c r="L22" i="4"/>
  <c r="M22" i="4"/>
  <c r="N22" i="4"/>
  <c r="H23" i="4"/>
  <c r="I23" i="4"/>
  <c r="F23" i="4"/>
  <c r="E23" i="4"/>
  <c r="K23" i="4"/>
  <c r="W11" i="3"/>
  <c r="W31" i="3"/>
  <c r="W51" i="3"/>
  <c r="W71" i="3"/>
  <c r="L23" i="4"/>
  <c r="M23" i="4"/>
  <c r="N23" i="4"/>
  <c r="C16" i="4"/>
  <c r="A16" i="4"/>
  <c r="J16" i="4"/>
  <c r="P16" i="4"/>
  <c r="C17" i="4"/>
  <c r="A17" i="4"/>
  <c r="J17" i="4"/>
  <c r="P17" i="4"/>
  <c r="C18" i="4"/>
  <c r="A18" i="4"/>
  <c r="J18" i="4"/>
  <c r="P18" i="4"/>
  <c r="C19" i="4"/>
  <c r="A19" i="4"/>
  <c r="J19" i="4"/>
  <c r="P19" i="4"/>
  <c r="C20" i="4"/>
  <c r="A20" i="4"/>
  <c r="J20" i="4"/>
  <c r="P20" i="4"/>
  <c r="C21" i="4"/>
  <c r="A21" i="4"/>
  <c r="J21" i="4"/>
  <c r="P21" i="4"/>
  <c r="C22" i="4"/>
  <c r="A22" i="4"/>
  <c r="J22" i="4"/>
  <c r="P22" i="4"/>
  <c r="C23" i="4"/>
  <c r="A23" i="4"/>
  <c r="J23" i="4"/>
  <c r="P23" i="4"/>
  <c r="D26" i="4"/>
  <c r="G26" i="4"/>
  <c r="D27" i="4"/>
  <c r="G27" i="4"/>
  <c r="D28" i="4"/>
  <c r="G28" i="4"/>
  <c r="D29" i="4"/>
  <c r="G29" i="4"/>
  <c r="D30" i="4"/>
  <c r="G30" i="4"/>
  <c r="D31" i="4"/>
  <c r="G31" i="4"/>
  <c r="D32" i="4"/>
  <c r="G32" i="4"/>
  <c r="D33" i="4"/>
  <c r="G33" i="4"/>
  <c r="H26" i="4"/>
  <c r="I26" i="4"/>
  <c r="F26" i="4"/>
  <c r="E26" i="4"/>
  <c r="K26" i="4"/>
  <c r="L26" i="4"/>
  <c r="M26" i="4"/>
  <c r="N26" i="4"/>
  <c r="H27" i="4"/>
  <c r="I27" i="4"/>
  <c r="F27" i="4"/>
  <c r="E27" i="4"/>
  <c r="K27" i="4"/>
  <c r="W138" i="3"/>
  <c r="W78" i="3"/>
  <c r="W98" i="3"/>
  <c r="W118" i="3"/>
  <c r="L27" i="4"/>
  <c r="M27" i="4"/>
  <c r="N27" i="4"/>
  <c r="H28" i="4"/>
  <c r="I28" i="4"/>
  <c r="F28" i="4"/>
  <c r="E28" i="4"/>
  <c r="K28" i="4"/>
  <c r="W57" i="3"/>
  <c r="W117" i="3"/>
  <c r="W77" i="3"/>
  <c r="W97" i="3"/>
  <c r="L28" i="4"/>
  <c r="M28" i="4"/>
  <c r="N28" i="4"/>
  <c r="H29" i="4"/>
  <c r="I29" i="4"/>
  <c r="F29" i="4"/>
  <c r="E29" i="4"/>
  <c r="K29" i="4"/>
  <c r="W36" i="3"/>
  <c r="W56" i="3"/>
  <c r="W76" i="3"/>
  <c r="W96" i="3"/>
  <c r="L29" i="4"/>
  <c r="M29" i="4"/>
  <c r="N29" i="4"/>
  <c r="H30" i="4"/>
  <c r="I30" i="4"/>
  <c r="F30" i="4"/>
  <c r="E30" i="4"/>
  <c r="K30" i="4"/>
  <c r="W119" i="3"/>
  <c r="W12" i="3"/>
  <c r="W99" i="3"/>
  <c r="W139" i="3"/>
  <c r="L30" i="4"/>
  <c r="M30" i="4"/>
  <c r="N30" i="4"/>
  <c r="H31" i="4"/>
  <c r="I31" i="4"/>
  <c r="F31" i="4"/>
  <c r="E31" i="4"/>
  <c r="K31" i="4"/>
  <c r="W13" i="3"/>
  <c r="W140" i="3"/>
  <c r="W33" i="3"/>
  <c r="W120" i="3"/>
  <c r="L31" i="4"/>
  <c r="M31" i="4"/>
  <c r="N31" i="4"/>
  <c r="H32" i="4"/>
  <c r="I32" i="4"/>
  <c r="F32" i="4"/>
  <c r="E32" i="4"/>
  <c r="K32" i="4"/>
  <c r="W14" i="3"/>
  <c r="W34" i="3"/>
  <c r="W54" i="3"/>
  <c r="W141" i="3"/>
  <c r="L32" i="4"/>
  <c r="M32" i="4"/>
  <c r="N32" i="4"/>
  <c r="H33" i="4"/>
  <c r="I33" i="4"/>
  <c r="F33" i="4"/>
  <c r="E33" i="4"/>
  <c r="K33" i="4"/>
  <c r="W15" i="3"/>
  <c r="W35" i="3"/>
  <c r="W55" i="3"/>
  <c r="W75" i="3"/>
  <c r="L33" i="4"/>
  <c r="M33" i="4"/>
  <c r="N33" i="4"/>
  <c r="C26" i="4"/>
  <c r="A26" i="4"/>
  <c r="J26" i="4"/>
  <c r="P26" i="4"/>
  <c r="C27" i="4"/>
  <c r="A27" i="4"/>
  <c r="J27" i="4"/>
  <c r="P27" i="4"/>
  <c r="C28" i="4"/>
  <c r="A28" i="4"/>
  <c r="J28" i="4"/>
  <c r="P28" i="4"/>
  <c r="C29" i="4"/>
  <c r="A29" i="4"/>
  <c r="J29" i="4"/>
  <c r="P29" i="4"/>
  <c r="C30" i="4"/>
  <c r="A30" i="4"/>
  <c r="J30" i="4"/>
  <c r="P30" i="4"/>
  <c r="C31" i="4"/>
  <c r="A31" i="4"/>
  <c r="J31" i="4"/>
  <c r="P31" i="4"/>
  <c r="C32" i="4"/>
  <c r="A32" i="4"/>
  <c r="J32" i="4"/>
  <c r="P32" i="4"/>
  <c r="C33" i="4"/>
  <c r="A33" i="4"/>
  <c r="J33" i="4"/>
  <c r="P33" i="4"/>
  <c r="D36" i="4"/>
  <c r="G36" i="4"/>
  <c r="D37" i="4"/>
  <c r="G37" i="4"/>
  <c r="D38" i="4"/>
  <c r="G38" i="4"/>
  <c r="D39" i="4"/>
  <c r="G39" i="4"/>
  <c r="D40" i="4"/>
  <c r="G40" i="4"/>
  <c r="D41" i="4"/>
  <c r="G41" i="4"/>
  <c r="D42" i="4"/>
  <c r="G42" i="4"/>
  <c r="D43" i="4"/>
  <c r="G43" i="4"/>
  <c r="H36" i="4"/>
  <c r="I36" i="4"/>
  <c r="F36" i="4"/>
  <c r="E36" i="4"/>
  <c r="K36" i="4"/>
  <c r="L36" i="4"/>
  <c r="M36" i="4"/>
  <c r="N36" i="4"/>
  <c r="H37" i="4"/>
  <c r="I37" i="4"/>
  <c r="F37" i="4"/>
  <c r="E37" i="4"/>
  <c r="K37" i="4"/>
  <c r="W82" i="3"/>
  <c r="W102" i="3"/>
  <c r="W122" i="3"/>
  <c r="W142" i="3"/>
  <c r="L37" i="4"/>
  <c r="M37" i="4"/>
  <c r="N37" i="4"/>
  <c r="H38" i="4"/>
  <c r="I38" i="4"/>
  <c r="F38" i="4"/>
  <c r="E38" i="4"/>
  <c r="K38" i="4"/>
  <c r="W101" i="3"/>
  <c r="W61" i="3"/>
  <c r="W81" i="3"/>
  <c r="W121" i="3"/>
  <c r="L38" i="4"/>
  <c r="M38" i="4"/>
  <c r="N38" i="4"/>
  <c r="H39" i="4"/>
  <c r="I39" i="4"/>
  <c r="F39" i="4"/>
  <c r="E39" i="4"/>
  <c r="K39" i="4"/>
  <c r="W40" i="3"/>
  <c r="W60" i="3"/>
  <c r="W80" i="3"/>
  <c r="W100" i="3"/>
  <c r="L39" i="4"/>
  <c r="M39" i="4"/>
  <c r="N39" i="4"/>
  <c r="H40" i="4"/>
  <c r="I40" i="4"/>
  <c r="F40" i="4"/>
  <c r="E40" i="4"/>
  <c r="K40" i="4"/>
  <c r="W16" i="3"/>
  <c r="W103" i="3"/>
  <c r="W123" i="3"/>
  <c r="W143" i="3"/>
  <c r="L40" i="4"/>
  <c r="M40" i="4"/>
  <c r="N40" i="4"/>
  <c r="H41" i="4"/>
  <c r="I41" i="4"/>
  <c r="F41" i="4"/>
  <c r="E41" i="4"/>
  <c r="K41" i="4"/>
  <c r="W17" i="3"/>
  <c r="W37" i="3"/>
  <c r="W124" i="3"/>
  <c r="W144" i="3"/>
  <c r="L41" i="4"/>
  <c r="M41" i="4"/>
  <c r="N41" i="4"/>
  <c r="H42" i="4"/>
  <c r="I42" i="4"/>
  <c r="F42" i="4"/>
  <c r="E42" i="4"/>
  <c r="K42" i="4"/>
  <c r="W18" i="3"/>
  <c r="W38" i="3"/>
  <c r="W58" i="3"/>
  <c r="W145" i="3"/>
  <c r="L42" i="4"/>
  <c r="M42" i="4"/>
  <c r="N42" i="4"/>
  <c r="H43" i="4"/>
  <c r="I43" i="4"/>
  <c r="F43" i="4"/>
  <c r="E43" i="4"/>
  <c r="K43" i="4"/>
  <c r="W19" i="3"/>
  <c r="W39" i="3"/>
  <c r="W59" i="3"/>
  <c r="W79" i="3"/>
  <c r="L43" i="4"/>
  <c r="M43" i="4"/>
  <c r="N43" i="4"/>
  <c r="C36" i="4"/>
  <c r="A36" i="4"/>
  <c r="J36" i="4"/>
  <c r="P36" i="4"/>
  <c r="C37" i="4"/>
  <c r="A37" i="4"/>
  <c r="J37" i="4"/>
  <c r="P37" i="4"/>
  <c r="C38" i="4"/>
  <c r="A38" i="4"/>
  <c r="J38" i="4"/>
  <c r="P38" i="4"/>
  <c r="C39" i="4"/>
  <c r="A39" i="4"/>
  <c r="J39" i="4"/>
  <c r="P39" i="4"/>
  <c r="C40" i="4"/>
  <c r="A40" i="4"/>
  <c r="J40" i="4"/>
  <c r="P40" i="4"/>
  <c r="C41" i="4"/>
  <c r="A41" i="4"/>
  <c r="J41" i="4"/>
  <c r="P41" i="4"/>
  <c r="C42" i="4"/>
  <c r="A42" i="4"/>
  <c r="J42" i="4"/>
  <c r="P42" i="4"/>
  <c r="C43" i="4"/>
  <c r="A43" i="4"/>
  <c r="J43" i="4"/>
  <c r="P43" i="4"/>
  <c r="D46" i="4"/>
  <c r="G46" i="4"/>
  <c r="D47" i="4"/>
  <c r="G47" i="4"/>
  <c r="D48" i="4"/>
  <c r="G48" i="4"/>
  <c r="D49" i="4"/>
  <c r="G49" i="4"/>
  <c r="D50" i="4"/>
  <c r="G50" i="4"/>
  <c r="D51" i="4"/>
  <c r="G51" i="4"/>
  <c r="D52" i="4"/>
  <c r="G52" i="4"/>
  <c r="D53" i="4"/>
  <c r="G53" i="4"/>
  <c r="H46" i="4"/>
  <c r="I46" i="4"/>
  <c r="F46" i="4"/>
  <c r="E46" i="4"/>
  <c r="K46" i="4"/>
  <c r="L46" i="4"/>
  <c r="M46" i="4"/>
  <c r="N46" i="4"/>
  <c r="H47" i="4"/>
  <c r="I47" i="4"/>
  <c r="F47" i="4"/>
  <c r="E47" i="4"/>
  <c r="K47" i="4"/>
  <c r="W86" i="3"/>
  <c r="W106" i="3"/>
  <c r="W126" i="3"/>
  <c r="W146" i="3"/>
  <c r="L47" i="4"/>
  <c r="M47" i="4"/>
  <c r="N47" i="4"/>
  <c r="H48" i="4"/>
  <c r="I48" i="4"/>
  <c r="F48" i="4"/>
  <c r="E48" i="4"/>
  <c r="K48" i="4"/>
  <c r="W105" i="3"/>
  <c r="W125" i="3"/>
  <c r="W65" i="3"/>
  <c r="W85" i="3"/>
  <c r="L48" i="4"/>
  <c r="M48" i="4"/>
  <c r="N48" i="4"/>
  <c r="H49" i="4"/>
  <c r="I49" i="4"/>
  <c r="F49" i="4"/>
  <c r="E49" i="4"/>
  <c r="K49" i="4"/>
  <c r="W44" i="3"/>
  <c r="W64" i="3"/>
  <c r="W84" i="3"/>
  <c r="W104" i="3"/>
  <c r="L49" i="4"/>
  <c r="M49" i="4"/>
  <c r="N49" i="4"/>
  <c r="H50" i="4"/>
  <c r="I50" i="4"/>
  <c r="F50" i="4"/>
  <c r="E50" i="4"/>
  <c r="K50" i="4"/>
  <c r="W20" i="3"/>
  <c r="W107" i="3"/>
  <c r="W127" i="3"/>
  <c r="W147" i="3"/>
  <c r="L50" i="4"/>
  <c r="M50" i="4"/>
  <c r="N50" i="4"/>
  <c r="H51" i="4"/>
  <c r="I51" i="4"/>
  <c r="F51" i="4"/>
  <c r="E51" i="4"/>
  <c r="K51" i="4"/>
  <c r="W21" i="3"/>
  <c r="W128" i="3"/>
  <c r="W148" i="3"/>
  <c r="W41" i="3"/>
  <c r="L51" i="4"/>
  <c r="M51" i="4"/>
  <c r="N51" i="4"/>
  <c r="H52" i="4"/>
  <c r="I52" i="4"/>
  <c r="F52" i="4"/>
  <c r="E52" i="4"/>
  <c r="K52" i="4"/>
  <c r="W22" i="3"/>
  <c r="W42" i="3"/>
  <c r="W62" i="3"/>
  <c r="W149" i="3"/>
  <c r="L52" i="4"/>
  <c r="M52" i="4"/>
  <c r="N52" i="4"/>
  <c r="H53" i="4"/>
  <c r="I53" i="4"/>
  <c r="F53" i="4"/>
  <c r="E53" i="4"/>
  <c r="K53" i="4"/>
  <c r="W23" i="3"/>
  <c r="W83" i="3"/>
  <c r="W43" i="3"/>
  <c r="W63" i="3"/>
  <c r="L53" i="4"/>
  <c r="M53" i="4"/>
  <c r="N53" i="4"/>
  <c r="C46" i="4"/>
  <c r="A46" i="4"/>
  <c r="J46" i="4"/>
  <c r="P46" i="4"/>
  <c r="C47" i="4"/>
  <c r="A47" i="4"/>
  <c r="J47" i="4"/>
  <c r="P47" i="4"/>
  <c r="C48" i="4"/>
  <c r="A48" i="4"/>
  <c r="J48" i="4"/>
  <c r="P48" i="4"/>
  <c r="C49" i="4"/>
  <c r="A49" i="4"/>
  <c r="J49" i="4"/>
  <c r="P49" i="4"/>
  <c r="C50" i="4"/>
  <c r="A50" i="4"/>
  <c r="J50" i="4"/>
  <c r="P50" i="4"/>
  <c r="C51" i="4"/>
  <c r="A51" i="4"/>
  <c r="J51" i="4"/>
  <c r="P51" i="4"/>
  <c r="C52" i="4"/>
  <c r="A52" i="4"/>
  <c r="J52" i="4"/>
  <c r="P52" i="4"/>
  <c r="C53" i="4"/>
  <c r="A53" i="4"/>
  <c r="J53" i="4"/>
  <c r="P53" i="4"/>
  <c r="E56" i="4"/>
  <c r="E57" i="4"/>
  <c r="E58" i="4"/>
  <c r="E59" i="4"/>
  <c r="E60" i="4"/>
  <c r="C56" i="4"/>
  <c r="A56" i="4"/>
  <c r="C57" i="4"/>
  <c r="A57" i="4"/>
  <c r="C58" i="4"/>
  <c r="A58" i="4"/>
  <c r="C59" i="4"/>
  <c r="A59" i="4"/>
  <c r="C60" i="4"/>
  <c r="A60" i="4"/>
  <c r="B83" i="4"/>
  <c r="E83" i="4"/>
  <c r="B84" i="4"/>
  <c r="E84" i="4"/>
  <c r="B85" i="4"/>
  <c r="E85" i="4"/>
  <c r="B86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C83" i="4"/>
  <c r="C84" i="4"/>
  <c r="C85" i="4"/>
  <c r="C86" i="4"/>
  <c r="D83" i="4"/>
  <c r="D84" i="4"/>
  <c r="D85" i="4"/>
  <c r="D86" i="4"/>
  <c r="C87" i="4"/>
  <c r="D87" i="4"/>
  <c r="C88" i="4"/>
  <c r="D88" i="4"/>
  <c r="C89" i="4"/>
  <c r="D89" i="4"/>
  <c r="C90" i="4"/>
  <c r="D90" i="4"/>
  <c r="C91" i="4"/>
  <c r="D91" i="4"/>
  <c r="C92" i="4"/>
  <c r="D92" i="4"/>
  <c r="C93" i="4"/>
  <c r="D93" i="4"/>
  <c r="C94" i="4"/>
  <c r="D94" i="4"/>
  <c r="C95" i="4"/>
  <c r="D95" i="4"/>
  <c r="C96" i="4"/>
  <c r="D96" i="4"/>
  <c r="C97" i="4"/>
  <c r="D97" i="4"/>
  <c r="C98" i="4"/>
  <c r="D98" i="4"/>
  <c r="C99" i="4"/>
  <c r="D99" i="4"/>
  <c r="C100" i="4"/>
  <c r="D100" i="4"/>
  <c r="C101" i="4"/>
  <c r="D101" i="4"/>
  <c r="C102" i="4"/>
  <c r="D102" i="4"/>
  <c r="C103" i="4"/>
  <c r="D103" i="4"/>
  <c r="C104" i="4"/>
  <c r="D104" i="4"/>
  <c r="C105" i="4"/>
  <c r="D105" i="4"/>
  <c r="C106" i="4"/>
  <c r="D106" i="4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B79" i="4"/>
  <c r="E79" i="4"/>
  <c r="C64" i="4"/>
  <c r="C65" i="4"/>
  <c r="C66" i="4"/>
  <c r="C67" i="4"/>
  <c r="D64" i="4"/>
  <c r="D65" i="4"/>
  <c r="D66" i="4"/>
  <c r="D67" i="4"/>
  <c r="C68" i="4"/>
  <c r="D68" i="4"/>
  <c r="C69" i="4"/>
  <c r="D69" i="4"/>
  <c r="C70" i="4"/>
  <c r="D70" i="4"/>
  <c r="C71" i="4"/>
  <c r="D71" i="4"/>
  <c r="C72" i="4"/>
  <c r="D72" i="4"/>
  <c r="C73" i="4"/>
  <c r="D73" i="4"/>
  <c r="C74" i="4"/>
  <c r="D74" i="4"/>
  <c r="C75" i="4"/>
  <c r="D75" i="4"/>
  <c r="C76" i="4"/>
  <c r="D76" i="4"/>
  <c r="C77" i="4"/>
  <c r="D77" i="4"/>
  <c r="C78" i="4"/>
  <c r="D78" i="4"/>
  <c r="C79" i="4"/>
  <c r="D79" i="4"/>
  <c r="S2" i="4"/>
  <c r="R2" i="6"/>
  <c r="B5" i="6"/>
  <c r="R5" i="6"/>
  <c r="S5" i="6"/>
  <c r="F7" i="6"/>
  <c r="R7" i="6"/>
  <c r="S7" i="6"/>
  <c r="F8" i="6"/>
  <c r="R8" i="6"/>
  <c r="S8" i="6"/>
  <c r="F9" i="6"/>
  <c r="R9" i="6"/>
  <c r="S9" i="6"/>
  <c r="F10" i="6"/>
  <c r="R10" i="6"/>
  <c r="S10" i="6"/>
  <c r="F11" i="6"/>
  <c r="R11" i="6"/>
  <c r="S11" i="6"/>
  <c r="F12" i="6"/>
  <c r="R12" i="6"/>
  <c r="S12" i="6"/>
  <c r="F6" i="6"/>
  <c r="R6" i="6"/>
  <c r="S6" i="6"/>
  <c r="Q5" i="6"/>
  <c r="Q6" i="6"/>
  <c r="Q7" i="6"/>
  <c r="Q8" i="6"/>
  <c r="Q9" i="6"/>
  <c r="Q10" i="6"/>
  <c r="Q11" i="6"/>
  <c r="Q12" i="6"/>
  <c r="F5" i="6"/>
  <c r="N5" i="6"/>
  <c r="O5" i="6"/>
  <c r="B6" i="6"/>
  <c r="N6" i="6"/>
  <c r="O6" i="6"/>
  <c r="B7" i="6"/>
  <c r="N7" i="6"/>
  <c r="O7" i="6"/>
  <c r="B8" i="6"/>
  <c r="N8" i="6"/>
  <c r="O8" i="6"/>
  <c r="B9" i="6"/>
  <c r="N9" i="6"/>
  <c r="O9" i="6"/>
  <c r="B10" i="6"/>
  <c r="N10" i="6"/>
  <c r="O10" i="6"/>
  <c r="B11" i="6"/>
  <c r="N11" i="6"/>
  <c r="O11" i="6"/>
  <c r="B12" i="6"/>
  <c r="N12" i="6"/>
  <c r="O12" i="6"/>
  <c r="M5" i="6"/>
  <c r="F15" i="6"/>
  <c r="R15" i="6"/>
  <c r="S15" i="6"/>
  <c r="M6" i="6"/>
  <c r="M7" i="6"/>
  <c r="M8" i="6"/>
  <c r="M9" i="6"/>
  <c r="M10" i="6"/>
  <c r="M11" i="6"/>
  <c r="M12" i="6"/>
  <c r="F18" i="6"/>
  <c r="R18" i="6"/>
  <c r="S18" i="6"/>
  <c r="B16" i="6"/>
  <c r="R16" i="6"/>
  <c r="S16" i="6"/>
  <c r="B17" i="6"/>
  <c r="R17" i="6"/>
  <c r="S17" i="6"/>
  <c r="Q15" i="6"/>
  <c r="Q16" i="6"/>
  <c r="Q17" i="6"/>
  <c r="Q18" i="6"/>
  <c r="B15" i="6"/>
  <c r="N15" i="6"/>
  <c r="O15" i="6"/>
  <c r="F16" i="6"/>
  <c r="N16" i="6"/>
  <c r="O16" i="6"/>
  <c r="F17" i="6"/>
  <c r="N17" i="6"/>
  <c r="O17" i="6"/>
  <c r="B18" i="6"/>
  <c r="N18" i="6"/>
  <c r="O18" i="6"/>
  <c r="M15" i="6"/>
  <c r="B21" i="6"/>
  <c r="R21" i="6"/>
  <c r="S21" i="6"/>
  <c r="M16" i="6"/>
  <c r="M17" i="6"/>
  <c r="F22" i="6"/>
  <c r="R22" i="6"/>
  <c r="S22" i="6"/>
  <c r="Q21" i="6"/>
  <c r="Q22" i="6"/>
  <c r="F25" i="6"/>
  <c r="R25" i="6"/>
  <c r="S25" i="6"/>
  <c r="Q25" i="6"/>
  <c r="F21" i="6"/>
  <c r="N21" i="6"/>
  <c r="O21" i="6"/>
  <c r="M18" i="6"/>
  <c r="B22" i="6"/>
  <c r="N22" i="6"/>
  <c r="O22" i="6"/>
  <c r="M21" i="6"/>
  <c r="F28" i="6"/>
  <c r="R28" i="6"/>
  <c r="S28" i="6"/>
  <c r="Q28" i="6"/>
  <c r="C19" i="7"/>
  <c r="C18" i="7"/>
  <c r="C17" i="7"/>
  <c r="C16" i="7"/>
  <c r="C15" i="7"/>
  <c r="C14" i="7"/>
  <c r="C13" i="7"/>
  <c r="C12" i="7"/>
  <c r="C11" i="7"/>
  <c r="C10" i="7"/>
  <c r="C9" i="7"/>
  <c r="C8" i="7"/>
  <c r="B25" i="6"/>
  <c r="M22" i="6"/>
  <c r="B28" i="6"/>
  <c r="C7" i="7"/>
  <c r="N25" i="6"/>
  <c r="C6" i="7"/>
  <c r="C5" i="7"/>
  <c r="N28" i="6"/>
  <c r="C4" i="7"/>
  <c r="O28" i="6"/>
  <c r="M28" i="6"/>
  <c r="AD28" i="6"/>
  <c r="AE28" i="6"/>
  <c r="AB28" i="6"/>
  <c r="Z28" i="6"/>
  <c r="Y28" i="6"/>
  <c r="X28" i="6"/>
  <c r="W28" i="6"/>
  <c r="AC28" i="6"/>
  <c r="U28" i="6"/>
  <c r="AA28" i="6"/>
  <c r="O25" i="6"/>
  <c r="M25" i="6"/>
  <c r="AD25" i="6"/>
  <c r="AE25" i="6"/>
  <c r="AB25" i="6"/>
  <c r="Z25" i="6"/>
  <c r="Y25" i="6"/>
  <c r="X25" i="6"/>
  <c r="W25" i="6"/>
  <c r="AC25" i="6"/>
  <c r="U25" i="6"/>
  <c r="AA25" i="6"/>
  <c r="AD22" i="6"/>
  <c r="AE22" i="6"/>
  <c r="AB22" i="6"/>
  <c r="Z22" i="6"/>
  <c r="Y22" i="6"/>
  <c r="X22" i="6"/>
  <c r="W22" i="6"/>
  <c r="AC22" i="6"/>
  <c r="U22" i="6"/>
  <c r="AA22" i="6"/>
  <c r="AD21" i="6"/>
  <c r="AE21" i="6"/>
  <c r="AB21" i="6"/>
  <c r="Z21" i="6"/>
  <c r="Y21" i="6"/>
  <c r="X21" i="6"/>
  <c r="W21" i="6"/>
  <c r="AC21" i="6"/>
  <c r="U21" i="6"/>
  <c r="AA21" i="6"/>
  <c r="AD18" i="6"/>
  <c r="AE18" i="6"/>
  <c r="AB18" i="6"/>
  <c r="Z18" i="6"/>
  <c r="Y18" i="6"/>
  <c r="X18" i="6"/>
  <c r="W18" i="6"/>
  <c r="AC18" i="6"/>
  <c r="U18" i="6"/>
  <c r="AA18" i="6"/>
  <c r="AD17" i="6"/>
  <c r="AE17" i="6"/>
  <c r="AB17" i="6"/>
  <c r="Z17" i="6"/>
  <c r="Y17" i="6"/>
  <c r="X17" i="6"/>
  <c r="W17" i="6"/>
  <c r="AC17" i="6"/>
  <c r="U17" i="6"/>
  <c r="AA17" i="6"/>
  <c r="AD16" i="6"/>
  <c r="AE16" i="6"/>
  <c r="AB16" i="6"/>
  <c r="Z16" i="6"/>
  <c r="Y16" i="6"/>
  <c r="X16" i="6"/>
  <c r="W16" i="6"/>
  <c r="AC16" i="6"/>
  <c r="U16" i="6"/>
  <c r="AA16" i="6"/>
  <c r="AD15" i="6"/>
  <c r="AE15" i="6"/>
  <c r="AB15" i="6"/>
  <c r="Z15" i="6"/>
  <c r="Y15" i="6"/>
  <c r="X15" i="6"/>
  <c r="W15" i="6"/>
  <c r="AC15" i="6"/>
  <c r="U15" i="6"/>
  <c r="AA15" i="6"/>
  <c r="AD12" i="6"/>
  <c r="AE12" i="6"/>
  <c r="AB12" i="6"/>
  <c r="Z12" i="6"/>
  <c r="Y12" i="6"/>
  <c r="X12" i="6"/>
  <c r="W12" i="6"/>
  <c r="AC12" i="6"/>
  <c r="U12" i="6"/>
  <c r="AA12" i="6"/>
  <c r="AD11" i="6"/>
  <c r="AE11" i="6"/>
  <c r="AB11" i="6"/>
  <c r="Z11" i="6"/>
  <c r="Y11" i="6"/>
  <c r="X11" i="6"/>
  <c r="W11" i="6"/>
  <c r="AC11" i="6"/>
  <c r="U11" i="6"/>
  <c r="AA11" i="6"/>
  <c r="AD10" i="6"/>
  <c r="AE10" i="6"/>
  <c r="AB10" i="6"/>
  <c r="Z10" i="6"/>
  <c r="Y10" i="6"/>
  <c r="X10" i="6"/>
  <c r="W10" i="6"/>
  <c r="AC10" i="6"/>
  <c r="U10" i="6"/>
  <c r="AA10" i="6"/>
  <c r="AD9" i="6"/>
  <c r="AE9" i="6"/>
  <c r="AB9" i="6"/>
  <c r="Z9" i="6"/>
  <c r="Y9" i="6"/>
  <c r="X9" i="6"/>
  <c r="W9" i="6"/>
  <c r="AC9" i="6"/>
  <c r="U9" i="6"/>
  <c r="AA9" i="6"/>
  <c r="AD8" i="6"/>
  <c r="AE8" i="6"/>
  <c r="AB8" i="6"/>
  <c r="Z8" i="6"/>
  <c r="Y8" i="6"/>
  <c r="X8" i="6"/>
  <c r="W8" i="6"/>
  <c r="AC8" i="6"/>
  <c r="U8" i="6"/>
  <c r="AA8" i="6"/>
  <c r="AD7" i="6"/>
  <c r="AE7" i="6"/>
  <c r="AB7" i="6"/>
  <c r="Z7" i="6"/>
  <c r="Y7" i="6"/>
  <c r="X7" i="6"/>
  <c r="W7" i="6"/>
  <c r="AC7" i="6"/>
  <c r="U7" i="6"/>
  <c r="AA7" i="6"/>
  <c r="AD6" i="6"/>
  <c r="AE6" i="6"/>
  <c r="AB6" i="6"/>
  <c r="Z6" i="6"/>
  <c r="Y6" i="6"/>
  <c r="X6" i="6"/>
  <c r="W6" i="6"/>
  <c r="AC6" i="6"/>
  <c r="U6" i="6"/>
  <c r="AA6" i="6"/>
  <c r="AD5" i="6"/>
  <c r="AE5" i="6"/>
  <c r="AB5" i="6"/>
  <c r="Z5" i="6"/>
  <c r="Y5" i="6"/>
  <c r="X5" i="6"/>
  <c r="W5" i="6"/>
  <c r="AC5" i="6"/>
  <c r="U5" i="6"/>
  <c r="AA5" i="6"/>
  <c r="L27" i="6"/>
  <c r="L24" i="6"/>
  <c r="L20" i="6"/>
  <c r="L14" i="6"/>
  <c r="L4" i="6"/>
  <c r="D60" i="4"/>
  <c r="D59" i="4"/>
  <c r="D58" i="4"/>
  <c r="D57" i="4"/>
  <c r="D56" i="4"/>
  <c r="M51" i="5"/>
  <c r="L51" i="5"/>
  <c r="K51" i="5"/>
  <c r="J51" i="5"/>
  <c r="I51" i="5"/>
  <c r="H51" i="5"/>
  <c r="G51" i="5"/>
  <c r="F51" i="5"/>
  <c r="E51" i="5"/>
  <c r="D51" i="5"/>
  <c r="C51" i="5"/>
  <c r="Q49" i="4"/>
  <c r="Q50" i="4"/>
  <c r="B51" i="5"/>
  <c r="M50" i="5"/>
  <c r="L50" i="5"/>
  <c r="K50" i="5"/>
  <c r="J50" i="5"/>
  <c r="I50" i="5"/>
  <c r="H50" i="5"/>
  <c r="G50" i="5"/>
  <c r="F50" i="5"/>
  <c r="E50" i="5"/>
  <c r="D50" i="5"/>
  <c r="C50" i="5"/>
  <c r="Q52" i="4"/>
  <c r="Q47" i="4"/>
  <c r="Q46" i="4"/>
  <c r="B50" i="5"/>
  <c r="M49" i="5"/>
  <c r="L49" i="5"/>
  <c r="K49" i="5"/>
  <c r="J49" i="5"/>
  <c r="I49" i="5"/>
  <c r="H49" i="5"/>
  <c r="G49" i="5"/>
  <c r="F49" i="5"/>
  <c r="E49" i="5"/>
  <c r="D49" i="5"/>
  <c r="C49" i="5"/>
  <c r="Q51" i="4"/>
  <c r="Q48" i="4"/>
  <c r="Q53" i="4"/>
  <c r="B49" i="5"/>
  <c r="M48" i="5"/>
  <c r="L48" i="5"/>
  <c r="K48" i="5"/>
  <c r="J48" i="5"/>
  <c r="I48" i="5"/>
  <c r="H48" i="5"/>
  <c r="G48" i="5"/>
  <c r="F48" i="5"/>
  <c r="E48" i="5"/>
  <c r="D48" i="5"/>
  <c r="C48" i="5"/>
  <c r="B48" i="5"/>
  <c r="M47" i="5"/>
  <c r="L47" i="5"/>
  <c r="K47" i="5"/>
  <c r="J47" i="5"/>
  <c r="I47" i="5"/>
  <c r="H47" i="5"/>
  <c r="G47" i="5"/>
  <c r="F47" i="5"/>
  <c r="E47" i="5"/>
  <c r="D47" i="5"/>
  <c r="C47" i="5"/>
  <c r="B47" i="5"/>
  <c r="M46" i="5"/>
  <c r="L46" i="5"/>
  <c r="K46" i="5"/>
  <c r="J46" i="5"/>
  <c r="I46" i="5"/>
  <c r="H46" i="5"/>
  <c r="G46" i="5"/>
  <c r="F46" i="5"/>
  <c r="E46" i="5"/>
  <c r="D46" i="5"/>
  <c r="C46" i="5"/>
  <c r="B46" i="5"/>
  <c r="M45" i="5"/>
  <c r="L45" i="5"/>
  <c r="K45" i="5"/>
  <c r="J45" i="5"/>
  <c r="I45" i="5"/>
  <c r="H45" i="5"/>
  <c r="G45" i="5"/>
  <c r="F45" i="5"/>
  <c r="E45" i="5"/>
  <c r="D45" i="5"/>
  <c r="C45" i="5"/>
  <c r="B45" i="5"/>
  <c r="M44" i="5"/>
  <c r="L44" i="5"/>
  <c r="K44" i="5"/>
  <c r="J44" i="5"/>
  <c r="I44" i="5"/>
  <c r="H44" i="5"/>
  <c r="G44" i="5"/>
  <c r="F44" i="5"/>
  <c r="E44" i="5"/>
  <c r="D44" i="5"/>
  <c r="C44" i="5"/>
  <c r="B44" i="5"/>
  <c r="M41" i="5"/>
  <c r="L41" i="5"/>
  <c r="K41" i="5"/>
  <c r="J41" i="5"/>
  <c r="I41" i="5"/>
  <c r="H41" i="5"/>
  <c r="G41" i="5"/>
  <c r="F41" i="5"/>
  <c r="E41" i="5"/>
  <c r="D41" i="5"/>
  <c r="C41" i="5"/>
  <c r="Q43" i="4"/>
  <c r="Q39" i="4"/>
  <c r="Q41" i="4"/>
  <c r="Q38" i="4"/>
  <c r="B41" i="5"/>
  <c r="M40" i="5"/>
  <c r="L40" i="5"/>
  <c r="K40" i="5"/>
  <c r="J40" i="5"/>
  <c r="I40" i="5"/>
  <c r="H40" i="5"/>
  <c r="G40" i="5"/>
  <c r="F40" i="5"/>
  <c r="E40" i="5"/>
  <c r="D40" i="5"/>
  <c r="C40" i="5"/>
  <c r="Q42" i="4"/>
  <c r="B40" i="5"/>
  <c r="M39" i="5"/>
  <c r="L39" i="5"/>
  <c r="K39" i="5"/>
  <c r="J39" i="5"/>
  <c r="I39" i="5"/>
  <c r="H39" i="5"/>
  <c r="G39" i="5"/>
  <c r="F39" i="5"/>
  <c r="E39" i="5"/>
  <c r="D39" i="5"/>
  <c r="C39" i="5"/>
  <c r="Q36" i="4"/>
  <c r="B39" i="5"/>
  <c r="M38" i="5"/>
  <c r="L38" i="5"/>
  <c r="K38" i="5"/>
  <c r="J38" i="5"/>
  <c r="I38" i="5"/>
  <c r="H38" i="5"/>
  <c r="G38" i="5"/>
  <c r="F38" i="5"/>
  <c r="E38" i="5"/>
  <c r="D38" i="5"/>
  <c r="C38" i="5"/>
  <c r="Q40" i="4"/>
  <c r="B38" i="5"/>
  <c r="M37" i="5"/>
  <c r="L37" i="5"/>
  <c r="K37" i="5"/>
  <c r="J37" i="5"/>
  <c r="I37" i="5"/>
  <c r="H37" i="5"/>
  <c r="G37" i="5"/>
  <c r="F37" i="5"/>
  <c r="E37" i="5"/>
  <c r="D37" i="5"/>
  <c r="C37" i="5"/>
  <c r="Q37" i="4"/>
  <c r="B37" i="5"/>
  <c r="M36" i="5"/>
  <c r="L36" i="5"/>
  <c r="K36" i="5"/>
  <c r="J36" i="5"/>
  <c r="I36" i="5"/>
  <c r="H36" i="5"/>
  <c r="G36" i="5"/>
  <c r="F36" i="5"/>
  <c r="E36" i="5"/>
  <c r="D36" i="5"/>
  <c r="C36" i="5"/>
  <c r="B36" i="5"/>
  <c r="M35" i="5"/>
  <c r="L35" i="5"/>
  <c r="K35" i="5"/>
  <c r="J35" i="5"/>
  <c r="I35" i="5"/>
  <c r="H35" i="5"/>
  <c r="G35" i="5"/>
  <c r="F35" i="5"/>
  <c r="E35" i="5"/>
  <c r="D35" i="5"/>
  <c r="C35" i="5"/>
  <c r="B35" i="5"/>
  <c r="M34" i="5"/>
  <c r="L34" i="5"/>
  <c r="K34" i="5"/>
  <c r="J34" i="5"/>
  <c r="I34" i="5"/>
  <c r="H34" i="5"/>
  <c r="G34" i="5"/>
  <c r="F34" i="5"/>
  <c r="E34" i="5"/>
  <c r="D34" i="5"/>
  <c r="C34" i="5"/>
  <c r="B34" i="5"/>
  <c r="M31" i="5"/>
  <c r="L31" i="5"/>
  <c r="K31" i="5"/>
  <c r="J31" i="5"/>
  <c r="I31" i="5"/>
  <c r="H31" i="5"/>
  <c r="G31" i="5"/>
  <c r="F31" i="5"/>
  <c r="E31" i="5"/>
  <c r="D31" i="5"/>
  <c r="C31" i="5"/>
  <c r="Q30" i="4"/>
  <c r="Q33" i="4"/>
  <c r="Q27" i="4"/>
  <c r="Q32" i="4"/>
  <c r="B31" i="5"/>
  <c r="M30" i="5"/>
  <c r="L30" i="5"/>
  <c r="K30" i="5"/>
  <c r="J30" i="5"/>
  <c r="I30" i="5"/>
  <c r="H30" i="5"/>
  <c r="G30" i="5"/>
  <c r="F30" i="5"/>
  <c r="E30" i="5"/>
  <c r="D30" i="5"/>
  <c r="C30" i="5"/>
  <c r="Q31" i="4"/>
  <c r="Q26" i="4"/>
  <c r="B30" i="5"/>
  <c r="M29" i="5"/>
  <c r="L29" i="5"/>
  <c r="K29" i="5"/>
  <c r="J29" i="5"/>
  <c r="I29" i="5"/>
  <c r="H29" i="5"/>
  <c r="G29" i="5"/>
  <c r="F29" i="5"/>
  <c r="E29" i="5"/>
  <c r="D29" i="5"/>
  <c r="C29" i="5"/>
  <c r="Q28" i="4"/>
  <c r="B29" i="5"/>
  <c r="M28" i="5"/>
  <c r="L28" i="5"/>
  <c r="K28" i="5"/>
  <c r="J28" i="5"/>
  <c r="I28" i="5"/>
  <c r="H28" i="5"/>
  <c r="G28" i="5"/>
  <c r="F28" i="5"/>
  <c r="E28" i="5"/>
  <c r="D28" i="5"/>
  <c r="C28" i="5"/>
  <c r="Q29" i="4"/>
  <c r="B28" i="5"/>
  <c r="M27" i="5"/>
  <c r="L27" i="5"/>
  <c r="K27" i="5"/>
  <c r="J27" i="5"/>
  <c r="I27" i="5"/>
  <c r="H27" i="5"/>
  <c r="G27" i="5"/>
  <c r="F27" i="5"/>
  <c r="E27" i="5"/>
  <c r="D27" i="5"/>
  <c r="C27" i="5"/>
  <c r="B27" i="5"/>
  <c r="M26" i="5"/>
  <c r="L26" i="5"/>
  <c r="K26" i="5"/>
  <c r="J26" i="5"/>
  <c r="I26" i="5"/>
  <c r="H26" i="5"/>
  <c r="G26" i="5"/>
  <c r="F26" i="5"/>
  <c r="E26" i="5"/>
  <c r="D26" i="5"/>
  <c r="C26" i="5"/>
  <c r="B26" i="5"/>
  <c r="M25" i="5"/>
  <c r="L25" i="5"/>
  <c r="K25" i="5"/>
  <c r="J25" i="5"/>
  <c r="I25" i="5"/>
  <c r="H25" i="5"/>
  <c r="G25" i="5"/>
  <c r="F25" i="5"/>
  <c r="E25" i="5"/>
  <c r="D25" i="5"/>
  <c r="C25" i="5"/>
  <c r="B25" i="5"/>
  <c r="M24" i="5"/>
  <c r="L24" i="5"/>
  <c r="K24" i="5"/>
  <c r="J24" i="5"/>
  <c r="I24" i="5"/>
  <c r="H24" i="5"/>
  <c r="G24" i="5"/>
  <c r="F24" i="5"/>
  <c r="E24" i="5"/>
  <c r="D24" i="5"/>
  <c r="C24" i="5"/>
  <c r="B24" i="5"/>
  <c r="M21" i="5"/>
  <c r="L21" i="5"/>
  <c r="K21" i="5"/>
  <c r="J21" i="5"/>
  <c r="I21" i="5"/>
  <c r="H21" i="5"/>
  <c r="G21" i="5"/>
  <c r="F21" i="5"/>
  <c r="E21" i="5"/>
  <c r="D21" i="5"/>
  <c r="C21" i="5"/>
  <c r="Q17" i="4"/>
  <c r="Q19" i="4"/>
  <c r="Q20" i="4"/>
  <c r="B21" i="5"/>
  <c r="M20" i="5"/>
  <c r="L20" i="5"/>
  <c r="K20" i="5"/>
  <c r="J20" i="5"/>
  <c r="I20" i="5"/>
  <c r="H20" i="5"/>
  <c r="G20" i="5"/>
  <c r="F20" i="5"/>
  <c r="E20" i="5"/>
  <c r="D20" i="5"/>
  <c r="C20" i="5"/>
  <c r="Q23" i="4"/>
  <c r="Q22" i="4"/>
  <c r="B20" i="5"/>
  <c r="M19" i="5"/>
  <c r="L19" i="5"/>
  <c r="K19" i="5"/>
  <c r="J19" i="5"/>
  <c r="I19" i="5"/>
  <c r="H19" i="5"/>
  <c r="G19" i="5"/>
  <c r="F19" i="5"/>
  <c r="E19" i="5"/>
  <c r="D19" i="5"/>
  <c r="C19" i="5"/>
  <c r="Q18" i="4"/>
  <c r="B19" i="5"/>
  <c r="M18" i="5"/>
  <c r="L18" i="5"/>
  <c r="K18" i="5"/>
  <c r="J18" i="5"/>
  <c r="I18" i="5"/>
  <c r="H18" i="5"/>
  <c r="G18" i="5"/>
  <c r="F18" i="5"/>
  <c r="E18" i="5"/>
  <c r="D18" i="5"/>
  <c r="C18" i="5"/>
  <c r="B18" i="5"/>
  <c r="M17" i="5"/>
  <c r="L17" i="5"/>
  <c r="K17" i="5"/>
  <c r="J17" i="5"/>
  <c r="I17" i="5"/>
  <c r="H17" i="5"/>
  <c r="G17" i="5"/>
  <c r="F17" i="5"/>
  <c r="E17" i="5"/>
  <c r="D17" i="5"/>
  <c r="C17" i="5"/>
  <c r="Q16" i="4"/>
  <c r="Q21" i="4"/>
  <c r="B17" i="5"/>
  <c r="M16" i="5"/>
  <c r="L16" i="5"/>
  <c r="K16" i="5"/>
  <c r="J16" i="5"/>
  <c r="I16" i="5"/>
  <c r="H16" i="5"/>
  <c r="G16" i="5"/>
  <c r="F16" i="5"/>
  <c r="E16" i="5"/>
  <c r="D16" i="5"/>
  <c r="C16" i="5"/>
  <c r="B16" i="5"/>
  <c r="M15" i="5"/>
  <c r="L15" i="5"/>
  <c r="K15" i="5"/>
  <c r="J15" i="5"/>
  <c r="I15" i="5"/>
  <c r="H15" i="5"/>
  <c r="G15" i="5"/>
  <c r="F15" i="5"/>
  <c r="E15" i="5"/>
  <c r="D15" i="5"/>
  <c r="C15" i="5"/>
  <c r="B15" i="5"/>
  <c r="M14" i="5"/>
  <c r="L14" i="5"/>
  <c r="K14" i="5"/>
  <c r="J14" i="5"/>
  <c r="I14" i="5"/>
  <c r="H14" i="5"/>
  <c r="G14" i="5"/>
  <c r="F14" i="5"/>
  <c r="E14" i="5"/>
  <c r="D14" i="5"/>
  <c r="C14" i="5"/>
  <c r="B14" i="5"/>
  <c r="M11" i="5"/>
  <c r="L11" i="5"/>
  <c r="K11" i="5"/>
  <c r="J11" i="5"/>
  <c r="I11" i="5"/>
  <c r="H11" i="5"/>
  <c r="G11" i="5"/>
  <c r="F11" i="5"/>
  <c r="E11" i="5"/>
  <c r="D11" i="5"/>
  <c r="C11" i="5"/>
  <c r="Q10" i="4"/>
  <c r="Q11" i="4"/>
  <c r="Q8" i="4"/>
  <c r="Q13" i="4"/>
  <c r="B11" i="5"/>
  <c r="M10" i="5"/>
  <c r="L10" i="5"/>
  <c r="K10" i="5"/>
  <c r="J10" i="5"/>
  <c r="I10" i="5"/>
  <c r="H10" i="5"/>
  <c r="G10" i="5"/>
  <c r="F10" i="5"/>
  <c r="E10" i="5"/>
  <c r="D10" i="5"/>
  <c r="C10" i="5"/>
  <c r="B10" i="5"/>
  <c r="M9" i="5"/>
  <c r="L9" i="5"/>
  <c r="K9" i="5"/>
  <c r="J9" i="5"/>
  <c r="I9" i="5"/>
  <c r="H9" i="5"/>
  <c r="G9" i="5"/>
  <c r="F9" i="5"/>
  <c r="E9" i="5"/>
  <c r="D9" i="5"/>
  <c r="C9" i="5"/>
  <c r="Q12" i="4"/>
  <c r="B9" i="5"/>
  <c r="M8" i="5"/>
  <c r="L8" i="5"/>
  <c r="K8" i="5"/>
  <c r="J8" i="5"/>
  <c r="I8" i="5"/>
  <c r="H8" i="5"/>
  <c r="G8" i="5"/>
  <c r="F8" i="5"/>
  <c r="E8" i="5"/>
  <c r="D8" i="5"/>
  <c r="C8" i="5"/>
  <c r="Q9" i="4"/>
  <c r="B8" i="5"/>
  <c r="M7" i="5"/>
  <c r="L7" i="5"/>
  <c r="K7" i="5"/>
  <c r="J7" i="5"/>
  <c r="I7" i="5"/>
  <c r="H7" i="5"/>
  <c r="G7" i="5"/>
  <c r="F7" i="5"/>
  <c r="E7" i="5"/>
  <c r="D7" i="5"/>
  <c r="C7" i="5"/>
  <c r="Q6" i="4"/>
  <c r="B7" i="5"/>
  <c r="M6" i="5"/>
  <c r="L6" i="5"/>
  <c r="K6" i="5"/>
  <c r="J6" i="5"/>
  <c r="I6" i="5"/>
  <c r="H6" i="5"/>
  <c r="G6" i="5"/>
  <c r="F6" i="5"/>
  <c r="E6" i="5"/>
  <c r="D6" i="5"/>
  <c r="C6" i="5"/>
  <c r="Q7" i="4"/>
  <c r="B6" i="5"/>
  <c r="M5" i="5"/>
  <c r="L5" i="5"/>
  <c r="K5" i="5"/>
  <c r="J5" i="5"/>
  <c r="I5" i="5"/>
  <c r="H5" i="5"/>
  <c r="G5" i="5"/>
  <c r="F5" i="5"/>
  <c r="E5" i="5"/>
  <c r="D5" i="5"/>
  <c r="C5" i="5"/>
  <c r="B5" i="5"/>
  <c r="M4" i="5"/>
  <c r="L4" i="5"/>
  <c r="K4" i="5"/>
  <c r="J4" i="5"/>
  <c r="I4" i="5"/>
  <c r="H4" i="5"/>
  <c r="G4" i="5"/>
  <c r="F4" i="5"/>
  <c r="E4" i="5"/>
  <c r="D4" i="5"/>
  <c r="C4" i="5"/>
  <c r="B4" i="5"/>
  <c r="K129" i="3"/>
  <c r="K108" i="3"/>
  <c r="K87" i="3"/>
  <c r="K66" i="3"/>
  <c r="K45" i="3"/>
  <c r="K24" i="3"/>
  <c r="B51" i="2"/>
  <c r="B50" i="2"/>
  <c r="B49" i="2"/>
  <c r="B48" i="2"/>
  <c r="B47" i="2"/>
  <c r="B46" i="2"/>
  <c r="B45" i="2"/>
  <c r="B44" i="2"/>
  <c r="B41" i="2"/>
  <c r="B40" i="2"/>
  <c r="B39" i="2"/>
  <c r="B38" i="2"/>
  <c r="B37" i="2"/>
  <c r="B36" i="2"/>
  <c r="B35" i="2"/>
  <c r="B34" i="2"/>
  <c r="B31" i="2"/>
  <c r="B30" i="2"/>
  <c r="B29" i="2"/>
  <c r="B28" i="2"/>
  <c r="B27" i="2"/>
  <c r="B26" i="2"/>
  <c r="B25" i="2"/>
  <c r="B24" i="2"/>
  <c r="B21" i="2"/>
  <c r="B20" i="2"/>
  <c r="B19" i="2"/>
  <c r="B18" i="2"/>
  <c r="B17" i="2"/>
  <c r="B16" i="2"/>
  <c r="B15" i="2"/>
  <c r="B14" i="2"/>
  <c r="B11" i="2"/>
  <c r="B10" i="2"/>
  <c r="B9" i="2"/>
  <c r="B8" i="2"/>
  <c r="B7" i="2"/>
  <c r="B6" i="2"/>
  <c r="B5" i="2"/>
  <c r="B4" i="2"/>
</calcChain>
</file>

<file path=xl/sharedStrings.xml><?xml version="1.0" encoding="utf-8"?>
<sst xmlns="http://schemas.openxmlformats.org/spreadsheetml/2006/main" count="806" uniqueCount="181">
  <si>
    <t>1a ETAPA DADINHO 2024 - FPFM - 18/02/2024 - Equipes</t>
  </si>
  <si>
    <t>JJFUTMESA - jjoliveirajr@jjfutmesa.com.br</t>
  </si>
  <si>
    <t>1a ETAPA DADINHO 2024 - FPFM - 18/02/2024 - Grupos</t>
  </si>
  <si>
    <t>Grupo A</t>
  </si>
  <si>
    <t>Grupo B</t>
  </si>
  <si>
    <t>Grupo C</t>
  </si>
  <si>
    <t>Grupo D</t>
  </si>
  <si>
    <t>Grupo E</t>
  </si>
  <si>
    <t>1a ETAPA DADINHO 2024 - FPFM - 18/02/2024 - Jogos</t>
  </si>
  <si>
    <t>TJ</t>
  </si>
  <si>
    <t>1ª rodada</t>
  </si>
  <si>
    <t>Mesa</t>
  </si>
  <si>
    <t>Grupo</t>
  </si>
  <si>
    <t>Rodada</t>
  </si>
  <si>
    <t>J</t>
  </si>
  <si>
    <t>V</t>
  </si>
  <si>
    <t>E</t>
  </si>
  <si>
    <t>D</t>
  </si>
  <si>
    <t>M</t>
  </si>
  <si>
    <t>GPm</t>
  </si>
  <si>
    <t>GPv</t>
  </si>
  <si>
    <t>GCv</t>
  </si>
  <si>
    <t>x</t>
  </si>
  <si>
    <t>A</t>
  </si>
  <si>
    <t>B</t>
  </si>
  <si>
    <t>C</t>
  </si>
  <si>
    <t>2ª rodada</t>
  </si>
  <si>
    <t>3ª rodada</t>
  </si>
  <si>
    <t>4ª rodada</t>
  </si>
  <si>
    <t>5ª rodada</t>
  </si>
  <si>
    <t>6ª rodada</t>
  </si>
  <si>
    <t>7ª rodada</t>
  </si>
  <si>
    <t>1a ETAPA DADINHO 2024 - FPFM - 18/02/2024 - ClassGrupFases</t>
  </si>
  <si>
    <t>Key</t>
  </si>
  <si>
    <t>Atletas</t>
  </si>
  <si>
    <t>%AP</t>
  </si>
  <si>
    <t>PTS</t>
  </si>
  <si>
    <t>GP</t>
  </si>
  <si>
    <t>GC</t>
  </si>
  <si>
    <t>SG</t>
  </si>
  <si>
    <t>ID</t>
  </si>
  <si>
    <t>TR</t>
  </si>
  <si>
    <t>1a ETAPA DADINHO 2024 - FPFM - 18/02/2024 - Classificação</t>
  </si>
  <si>
    <t>4A</t>
  </si>
  <si>
    <t>4B</t>
  </si>
  <si>
    <t>4C</t>
  </si>
  <si>
    <t>4D</t>
  </si>
  <si>
    <t>4E</t>
  </si>
  <si>
    <t>IN</t>
  </si>
  <si>
    <t>1A</t>
  </si>
  <si>
    <t>1B</t>
  </si>
  <si>
    <t>1C</t>
  </si>
  <si>
    <t>1D</t>
  </si>
  <si>
    <t>1E</t>
  </si>
  <si>
    <t>2A</t>
  </si>
  <si>
    <t>2B</t>
  </si>
  <si>
    <t>2C</t>
  </si>
  <si>
    <t>2D</t>
  </si>
  <si>
    <t>2E</t>
  </si>
  <si>
    <t>3A</t>
  </si>
  <si>
    <t>3B</t>
  </si>
  <si>
    <t>3C</t>
  </si>
  <si>
    <t>3D</t>
  </si>
  <si>
    <t>3E</t>
  </si>
  <si>
    <t>OUT</t>
  </si>
  <si>
    <t>5A</t>
  </si>
  <si>
    <t>6A</t>
  </si>
  <si>
    <t>7A</t>
  </si>
  <si>
    <t>8A</t>
  </si>
  <si>
    <t>5B</t>
  </si>
  <si>
    <t>6B</t>
  </si>
  <si>
    <t>7B</t>
  </si>
  <si>
    <t>8B</t>
  </si>
  <si>
    <t>5C</t>
  </si>
  <si>
    <t>6C</t>
  </si>
  <si>
    <t>7C</t>
  </si>
  <si>
    <t>8C</t>
  </si>
  <si>
    <t>5D</t>
  </si>
  <si>
    <t>6D</t>
  </si>
  <si>
    <t>7D</t>
  </si>
  <si>
    <t>8D</t>
  </si>
  <si>
    <t>5E</t>
  </si>
  <si>
    <t>6E</t>
  </si>
  <si>
    <t>7E</t>
  </si>
  <si>
    <t>8E</t>
  </si>
  <si>
    <t>1a ETAPA DADINHO 2024 - FPFM - 18/02/2024 - FINAIS</t>
  </si>
  <si>
    <t>CHECK</t>
  </si>
  <si>
    <t>Oitavas de Final</t>
  </si>
  <si>
    <t>RODADA ÚNICA</t>
  </si>
  <si>
    <t>MESA</t>
  </si>
  <si>
    <t>PASSA</t>
  </si>
  <si>
    <t>NÃO PASSA</t>
  </si>
  <si>
    <t>Quartas de Final</t>
  </si>
  <si>
    <t>Semifinais</t>
  </si>
  <si>
    <t>Disputa de 3º lugar</t>
  </si>
  <si>
    <t>Final</t>
  </si>
  <si>
    <t>CLASSIFICAÇÃO FINAL</t>
  </si>
  <si>
    <t>1a ETAPA DADINHO 2024 - FPFM - 18/02/2024 - Premiação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</si>
  <si>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</si>
  <si>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</si>
  <si>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</si>
  <si>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</si>
  <si>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</si>
  <si>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</si>
  <si>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</si>
  <si>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</si>
  <si>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</si>
  <si>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</si>
  <si>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</si>
  <si>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</si>
  <si>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</si>
  <si>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</si>
  <si>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</si>
  <si>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</si>
  <si>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</si>
  <si>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</si>
  <si>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</si>
  <si>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</si>
  <si>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</si>
  <si>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</si>
  <si>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</si>
  <si>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</si>
  <si>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</si>
  <si>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</si>
  <si>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</si>
  <si>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</si>
  <si>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</si>
  <si>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</si>
  <si>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</si>
  <si>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</si>
  <si>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</si>
  <si>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</si>
  <si>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</si>
  <si>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</si>
  <si>
    <t>37º</t>
  </si>
  <si>
    <t>38º</t>
  </si>
  <si>
    <t>39º</t>
  </si>
  <si>
    <t>40º</t>
  </si>
  <si>
    <t>RUAS(CEPE)</t>
  </si>
  <si>
    <t>CLÉO JR (CEPE)</t>
  </si>
  <si>
    <t>MARCOS WILLOW(SCCP)</t>
  </si>
  <si>
    <t>COELHO(SCCP)</t>
  </si>
  <si>
    <t>SALLYS(SPFC)</t>
  </si>
  <si>
    <t>PROFESSOR(LTVL)</t>
  </si>
  <si>
    <t>AURÉLIO(BF)</t>
  </si>
  <si>
    <t>CORTEZ(MZ)</t>
  </si>
  <si>
    <t>TABAJARA(CEPE)</t>
  </si>
  <si>
    <t>DIOGO(CEPE)</t>
  </si>
  <si>
    <t>VINICIUS ROLIM(SCCP)</t>
  </si>
  <si>
    <t>REGINALDO(SCCP)</t>
  </si>
  <si>
    <t>ELSIO(SPFC)</t>
  </si>
  <si>
    <t>MARIELCIO(LTVL)</t>
  </si>
  <si>
    <t>AUGUSTO(BF)</t>
  </si>
  <si>
    <t>LUIZ COELHO(MZ)</t>
  </si>
  <si>
    <t>AFONSO(CEPE)</t>
  </si>
  <si>
    <t>FÉLIX(CEPE)</t>
  </si>
  <si>
    <t>ELCIO(LTVL)</t>
  </si>
  <si>
    <t>MARIELCINHO(LTVL)</t>
  </si>
  <si>
    <t>WAGNER(SPFC)</t>
  </si>
  <si>
    <t>MARCOS MATTOS(BF)</t>
  </si>
  <si>
    <t>SÉRGIO BARREIRA(SCCP)</t>
  </si>
  <si>
    <t>MARIO MILI(MZ)</t>
  </si>
  <si>
    <t>MARCÃO SILVA(SPFC)</t>
  </si>
  <si>
    <t>PABLO MARTINS(SPFC)</t>
  </si>
  <si>
    <t>RAFAEL BALIEIRO(LTVL)</t>
  </si>
  <si>
    <t>GUANABARA(LTVL)</t>
  </si>
  <si>
    <t>CHARLEAUX(CEPE)</t>
  </si>
  <si>
    <t>GALDEANO(SCCP)</t>
  </si>
  <si>
    <t>DJ IURY(BF)</t>
  </si>
  <si>
    <t>BERGAMINI(MZ)</t>
  </si>
  <si>
    <t>LÉO CARIOCA(MZ)</t>
  </si>
  <si>
    <t>BRAGHETTO(MZ)</t>
  </si>
  <si>
    <t>ZÉ LUIZ(SPFC)</t>
  </si>
  <si>
    <t>PAULO ROBERTO(SPFC)</t>
  </si>
  <si>
    <t>TUPINAMBÁ(LTVL)</t>
  </si>
  <si>
    <t>RICARDO RAMALHO(BF)</t>
  </si>
  <si>
    <t>RODRIGO MORO(SCCP)</t>
  </si>
  <si>
    <t>PEPE 2004(CEPE)</t>
  </si>
  <si>
    <t>OITAVAS FINAL PRATA</t>
  </si>
  <si>
    <t>X</t>
  </si>
  <si>
    <t>2X1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</si>
</sst>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\h"/>
    <numFmt numFmtId="165" formatCode="0.0%"/>
    <numFmt numFmtId="166" formatCode="#\º"/>
    <numFmt numFmtId="167" formatCode="hh\.mm\h"/>
  </numFmts>
  <fonts count="2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6"/>
      <color indexed="8"/>
      <name val="Copperplate Gothic Bold"/>
    </font>
    <font>
      <sz val="10"/>
      <color indexed="12"/>
      <name val="Arial"/>
    </font>
    <font>
      <sz val="12"/>
      <color indexed="9"/>
      <name val="Calibri"/>
      <family val="2"/>
    </font>
    <font>
      <sz val="8"/>
      <color theme="1"/>
      <name val="Calibri"/>
      <family val="2"/>
    </font>
    <font>
      <b/>
      <sz val="12"/>
      <color theme="1"/>
      <name val="Calibri"/>
    </font>
    <font>
      <sz val="8"/>
      <color indexed="10"/>
      <name val="Calibri"/>
      <family val="2"/>
    </font>
    <font>
      <sz val="12"/>
      <color theme="1"/>
      <name val="Segoe UI Light"/>
    </font>
    <font>
      <sz val="8"/>
      <color theme="1"/>
      <name val="Segoe UI Light"/>
    </font>
    <font>
      <sz val="8"/>
      <color indexed="10"/>
      <name val="Segoe UI Light"/>
    </font>
    <font>
      <sz val="8"/>
      <color indexed="12"/>
      <name val="Segoe UI Light"/>
    </font>
    <font>
      <b/>
      <sz val="16"/>
      <color indexed="9"/>
      <name val="Segoe UI Light"/>
    </font>
    <font>
      <b/>
      <sz val="8"/>
      <color theme="1"/>
      <name val="Segoe UI Light"/>
    </font>
    <font>
      <sz val="8"/>
      <color indexed="9"/>
      <name val="Segoe UI Light"/>
    </font>
    <font>
      <sz val="12"/>
      <color indexed="9"/>
      <name val="Segoe UI Light"/>
    </font>
    <font>
      <sz val="12"/>
      <color indexed="8"/>
      <name val="Segoe UI Light"/>
    </font>
    <font>
      <b/>
      <sz val="12"/>
      <color indexed="9"/>
      <name val="Segoe UI Light"/>
    </font>
    <font>
      <b/>
      <sz val="12"/>
      <color theme="1"/>
      <name val="Segoe UI Light"/>
    </font>
    <font>
      <b/>
      <sz val="12"/>
      <color indexed="8"/>
      <name val="Segoe UI Light"/>
    </font>
    <font>
      <b/>
      <sz val="8"/>
      <color indexed="12"/>
      <name val="Segoe UI Light"/>
    </font>
    <font>
      <b/>
      <sz val="8"/>
      <color indexed="10"/>
      <name val="Segoe UI Light"/>
    </font>
    <font>
      <b/>
      <sz val="14"/>
      <color theme="1"/>
      <name val="Segoe UI Light"/>
    </font>
    <font>
      <b/>
      <sz val="16"/>
      <color indexed="8"/>
      <name val="Copperplate Gothic Bold"/>
    </font>
    <font>
      <b/>
      <sz val="10"/>
      <color indexed="12"/>
      <name val="Arial"/>
    </font>
    <font>
      <sz val="10"/>
      <color indexed="23"/>
      <name val="Segoe UI Light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0"/>
        <bgColor indexed="64"/>
      </patternFill>
    </fill>
  </fills>
  <borders count="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1" fillId="2" borderId="0" xfId="0" applyFont="1" applyFill="1" applyProtection="1">
      <protection locked="0"/>
    </xf>
    <xf numFmtId="0" fontId="6" fillId="0" borderId="0" xfId="0" applyFont="1"/>
    <xf numFmtId="0" fontId="7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3" borderId="0" xfId="0" applyFont="1" applyFill="1" applyAlignment="1">
      <alignment horizontal="right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7" fillId="3" borderId="0" xfId="0" applyFont="1" applyFill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1" fillId="2" borderId="0" xfId="0" applyFont="1" applyFill="1" applyAlignment="1" applyProtection="1">
      <alignment horizontal="center"/>
      <protection locked="0"/>
    </xf>
    <xf numFmtId="0" fontId="1" fillId="4" borderId="0" xfId="0" applyFont="1" applyFill="1" applyAlignment="1">
      <alignment horizontal="right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left"/>
    </xf>
    <xf numFmtId="0" fontId="7" fillId="4" borderId="0" xfId="0" applyFont="1" applyFill="1" applyAlignment="1">
      <alignment horizontal="right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0" fontId="12" fillId="5" borderId="0" xfId="0" applyFont="1" applyFill="1" applyAlignment="1">
      <alignment horizontal="center"/>
    </xf>
    <xf numFmtId="0" fontId="13" fillId="6" borderId="0" xfId="0" applyFont="1" applyFill="1" applyAlignment="1">
      <alignment horizontal="left"/>
    </xf>
    <xf numFmtId="0" fontId="9" fillId="6" borderId="0" xfId="0" applyFont="1" applyFill="1" applyAlignment="1">
      <alignment horizontal="center"/>
    </xf>
    <xf numFmtId="0" fontId="13" fillId="6" borderId="0" xfId="0" applyFont="1" applyFill="1" applyAlignment="1">
      <alignment horizontal="center"/>
    </xf>
    <xf numFmtId="165" fontId="9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4" fillId="0" borderId="0" xfId="0" applyFont="1" applyProtection="1">
      <protection hidden="1"/>
    </xf>
    <xf numFmtId="0" fontId="2" fillId="0" borderId="0" xfId="0" applyFont="1" applyAlignment="1" applyProtection="1">
      <alignment horizontal="left"/>
      <protection hidden="1"/>
    </xf>
    <xf numFmtId="0" fontId="8" fillId="0" borderId="0" xfId="0" applyFont="1" applyAlignment="1" applyProtection="1">
      <alignment horizontal="left"/>
      <protection hidden="1"/>
    </xf>
    <xf numFmtId="0" fontId="8" fillId="0" borderId="0" xfId="0" applyFont="1" applyAlignment="1" applyProtection="1">
      <alignment horizontal="right"/>
      <protection hidden="1"/>
    </xf>
    <xf numFmtId="0" fontId="15" fillId="0" borderId="0" xfId="0" applyFont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17" fillId="5" borderId="2" xfId="0" applyFont="1" applyFill="1" applyBorder="1" applyAlignment="1" applyProtection="1">
      <alignment horizontal="center"/>
      <protection hidden="1"/>
    </xf>
    <xf numFmtId="0" fontId="18" fillId="6" borderId="2" xfId="0" applyFont="1" applyFill="1" applyBorder="1" applyAlignment="1" applyProtection="1">
      <alignment horizontal="left"/>
      <protection hidden="1"/>
    </xf>
    <xf numFmtId="0" fontId="18" fillId="6" borderId="2" xfId="0" applyFont="1" applyFill="1" applyBorder="1" applyAlignment="1" applyProtection="1">
      <alignment horizontal="right"/>
      <protection hidden="1"/>
    </xf>
    <xf numFmtId="166" fontId="8" fillId="0" borderId="2" xfId="0" applyNumberFormat="1" applyFont="1" applyBorder="1" applyAlignment="1" applyProtection="1">
      <alignment horizontal="center"/>
      <protection hidden="1"/>
    </xf>
    <xf numFmtId="0" fontId="8" fillId="0" borderId="2" xfId="0" applyFont="1" applyBorder="1" applyAlignment="1" applyProtection="1">
      <alignment horizontal="left"/>
      <protection hidden="1"/>
    </xf>
    <xf numFmtId="165" fontId="8" fillId="0" borderId="2" xfId="0" applyNumberFormat="1" applyFont="1" applyBorder="1" applyAlignment="1" applyProtection="1">
      <alignment horizontal="right"/>
      <protection hidden="1"/>
    </xf>
    <xf numFmtId="0" fontId="8" fillId="0" borderId="2" xfId="0" applyFont="1" applyBorder="1" applyAlignment="1" applyProtection="1">
      <alignment horizontal="right"/>
      <protection hidden="1"/>
    </xf>
    <xf numFmtId="166" fontId="8" fillId="0" borderId="1" xfId="0" applyNumberFormat="1" applyFont="1" applyBorder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left"/>
      <protection hidden="1"/>
    </xf>
    <xf numFmtId="165" fontId="8" fillId="0" borderId="1" xfId="0" applyNumberFormat="1" applyFont="1" applyBorder="1" applyAlignment="1" applyProtection="1">
      <alignment horizontal="right"/>
      <protection hidden="1"/>
    </xf>
    <xf numFmtId="0" fontId="8" fillId="0" borderId="1" xfId="0" applyFont="1" applyBorder="1" applyAlignment="1" applyProtection="1">
      <alignment horizontal="right"/>
      <protection hidden="1"/>
    </xf>
    <xf numFmtId="0" fontId="8" fillId="0" borderId="0" xfId="0" applyFont="1" applyAlignment="1" applyProtection="1">
      <alignment horizontal="center"/>
      <protection hidden="1"/>
    </xf>
    <xf numFmtId="0" fontId="12" fillId="7" borderId="0" xfId="0" applyFont="1" applyFill="1" applyAlignment="1">
      <alignment horizontal="center"/>
    </xf>
    <xf numFmtId="0" fontId="12" fillId="8" borderId="0" xfId="0" applyFont="1" applyFill="1" applyAlignment="1">
      <alignment horizont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2" fillId="9" borderId="0" xfId="0" applyFont="1" applyFill="1" applyAlignment="1">
      <alignment horizontal="centerContinuous"/>
    </xf>
    <xf numFmtId="167" fontId="18" fillId="0" borderId="0" xfId="0" applyNumberFormat="1" applyFont="1" applyAlignment="1">
      <alignment horizontal="right"/>
    </xf>
    <xf numFmtId="0" fontId="19" fillId="6" borderId="0" xfId="0" applyFont="1" applyFill="1" applyAlignment="1">
      <alignment horizontal="center"/>
    </xf>
    <xf numFmtId="0" fontId="19" fillId="6" borderId="0" xfId="0" applyFont="1" applyFill="1" applyAlignment="1">
      <alignment horizontal="left"/>
    </xf>
    <xf numFmtId="0" fontId="11" fillId="6" borderId="0" xfId="0" applyFont="1" applyFill="1" applyAlignment="1">
      <alignment horizontal="centerContinuous"/>
    </xf>
    <xf numFmtId="0" fontId="20" fillId="6" borderId="0" xfId="0" applyFont="1" applyFill="1" applyAlignment="1">
      <alignment horizontal="centerContinuous"/>
    </xf>
    <xf numFmtId="0" fontId="10" fillId="6" borderId="0" xfId="0" applyFont="1" applyFill="1" applyAlignment="1">
      <alignment horizontal="centerContinuous"/>
    </xf>
    <xf numFmtId="0" fontId="21" fillId="6" borderId="0" xfId="0" applyFont="1" applyFill="1" applyAlignment="1">
      <alignment horizontal="centerContinuous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10" fillId="4" borderId="0" xfId="0" applyFont="1" applyFill="1" applyAlignment="1">
      <alignment horizontal="right"/>
    </xf>
    <xf numFmtId="0" fontId="16" fillId="4" borderId="0" xfId="0" applyFont="1" applyFill="1" applyAlignment="1">
      <alignment horizontal="right"/>
    </xf>
    <xf numFmtId="0" fontId="8" fillId="2" borderId="0" xfId="0" applyFont="1" applyFill="1" applyAlignment="1" applyProtection="1">
      <alignment horizontal="center"/>
      <protection locked="0"/>
    </xf>
    <xf numFmtId="0" fontId="22" fillId="0" borderId="0" xfId="0" applyFont="1"/>
    <xf numFmtId="0" fontId="23" fillId="0" borderId="0" xfId="0" applyFont="1" applyAlignment="1" applyProtection="1">
      <alignment horizontal="left"/>
      <protection hidden="1"/>
    </xf>
    <xf numFmtId="0" fontId="22" fillId="0" borderId="0" xfId="0" applyFont="1" applyAlignment="1" applyProtection="1">
      <alignment horizontal="left"/>
      <protection hidden="1"/>
    </xf>
    <xf numFmtId="0" fontId="24" fillId="0" borderId="0" xfId="0" applyFont="1" applyAlignment="1" applyProtection="1">
      <alignment horizontal="left"/>
      <protection hidden="1"/>
    </xf>
    <xf numFmtId="0" fontId="12" fillId="9" borderId="0" xfId="0" applyFont="1" applyFill="1" applyAlignment="1" applyProtection="1">
      <alignment horizontal="centerContinuous"/>
      <protection hidden="1"/>
    </xf>
    <xf numFmtId="0" fontId="22" fillId="10" borderId="2" xfId="0" applyFont="1" applyFill="1" applyBorder="1" applyAlignment="1" applyProtection="1">
      <alignment horizontal="center"/>
      <protection hidden="1"/>
    </xf>
    <xf numFmtId="0" fontId="22" fillId="6" borderId="2" xfId="0" applyFont="1" applyFill="1" applyBorder="1" applyAlignment="1" applyProtection="1">
      <alignment horizontal="left"/>
      <protection hidden="1"/>
    </xf>
    <xf numFmtId="0" fontId="22" fillId="0" borderId="2" xfId="0" applyFont="1" applyBorder="1" applyAlignment="1" applyProtection="1">
      <alignment horizontal="center"/>
      <protection hidden="1"/>
    </xf>
    <xf numFmtId="0" fontId="22" fillId="0" borderId="2" xfId="0" applyFont="1" applyBorder="1" applyAlignment="1" applyProtection="1">
      <alignment horizontal="left"/>
      <protection hidden="1"/>
    </xf>
    <xf numFmtId="0" fontId="22" fillId="0" borderId="1" xfId="0" applyFont="1" applyBorder="1" applyAlignment="1" applyProtection="1">
      <alignment horizontal="center"/>
      <protection hidden="1"/>
    </xf>
    <xf numFmtId="0" fontId="22" fillId="0" borderId="1" xfId="0" applyFont="1" applyBorder="1" applyAlignment="1" applyProtection="1">
      <alignment horizontal="left"/>
      <protection hidden="1"/>
    </xf>
    <xf numFmtId="0" fontId="25" fillId="0" borderId="0" xfId="0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left"/>
      <protection hidden="1"/>
    </xf>
    <xf numFmtId="0" fontId="22" fillId="0" borderId="0" xfId="0" applyFont="1" applyAlignment="1" applyProtection="1">
      <alignment horizontal="center"/>
      <protection hidden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0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2"/>
  <sheetViews>
    <sheetView showGridLines="0" workbookViewId="0">
      <pane xSplit="1" ySplit="2" topLeftCell="B3" activePane="bottomRight" state="frozen"/>
      <selection pane="bottomLeft" activeCell="A3" sqref="A3"/>
      <selection pane="topRight" activeCell="B1" sqref="B1"/>
      <selection pane="bottomRight" activeCell="B3" sqref="B3"/>
    </sheetView>
  </sheetViews>
  <sheetFormatPr defaultColWidth="10.8515625" defaultRowHeight="15" x14ac:dyDescent="0.2"/>
  <cols>
    <col min="1" max="1" width="5.91796875" style="1" customWidth="1"/>
    <col min="2" max="2" width="50.92578125" style="1" customWidth="1"/>
    <col min="3" max="3" width="10.8515625" style="4"/>
    <col min="4" max="16384" width="10.8515625" style="1"/>
  </cols>
  <sheetData>
    <row r="1" spans="1:3" ht="21" x14ac:dyDescent="0.25">
      <c r="B1" s="2" t="s">
        <v>0</v>
      </c>
    </row>
    <row r="2" spans="1:3" x14ac:dyDescent="0.2">
      <c r="B2" s="3" t="s">
        <v>1</v>
      </c>
    </row>
    <row r="3" spans="1:3" x14ac:dyDescent="0.2">
      <c r="A3" s="5">
        <v>1</v>
      </c>
      <c r="B3" s="6" t="s">
        <v>138</v>
      </c>
      <c r="C3" s="4">
        <v>0.98779338598251343</v>
      </c>
    </row>
    <row r="4" spans="1:3" x14ac:dyDescent="0.2">
      <c r="A4" s="5">
        <v>2</v>
      </c>
      <c r="B4" s="6" t="s">
        <v>140</v>
      </c>
      <c r="C4" s="4">
        <v>0.98747634887695312</v>
      </c>
    </row>
    <row r="5" spans="1:3" x14ac:dyDescent="0.2">
      <c r="A5" s="5">
        <v>3</v>
      </c>
      <c r="B5" s="6" t="s">
        <v>142</v>
      </c>
      <c r="C5" s="4">
        <v>0.94898205995559692</v>
      </c>
    </row>
    <row r="6" spans="1:3" x14ac:dyDescent="0.2">
      <c r="A6" s="5">
        <v>4</v>
      </c>
      <c r="B6" s="6" t="s">
        <v>143</v>
      </c>
      <c r="C6" s="4">
        <v>0.89634060859680176</v>
      </c>
    </row>
    <row r="7" spans="1:3" x14ac:dyDescent="0.2">
      <c r="A7" s="5">
        <v>5</v>
      </c>
      <c r="B7" s="6" t="s">
        <v>139</v>
      </c>
      <c r="C7" s="4">
        <v>0.88169050216674805</v>
      </c>
    </row>
    <row r="8" spans="1:3" x14ac:dyDescent="0.2">
      <c r="A8" s="5">
        <v>6</v>
      </c>
      <c r="B8" s="6" t="s">
        <v>141</v>
      </c>
      <c r="C8" s="4">
        <v>0.8538011908531189</v>
      </c>
    </row>
    <row r="9" spans="1:3" x14ac:dyDescent="0.2">
      <c r="A9" s="5">
        <v>7</v>
      </c>
      <c r="B9" s="6" t="s">
        <v>144</v>
      </c>
      <c r="C9" s="4">
        <v>0.84737247228622437</v>
      </c>
    </row>
    <row r="10" spans="1:3" x14ac:dyDescent="0.2">
      <c r="A10" s="5">
        <v>8</v>
      </c>
      <c r="B10" s="6" t="s">
        <v>145</v>
      </c>
      <c r="C10" s="4">
        <v>0.84528434276580811</v>
      </c>
    </row>
    <row r="11" spans="1:3" x14ac:dyDescent="0.2">
      <c r="A11" s="5">
        <v>9</v>
      </c>
      <c r="B11" s="6" t="s">
        <v>146</v>
      </c>
      <c r="C11" s="4">
        <v>0.79642575979232788</v>
      </c>
    </row>
    <row r="12" spans="1:3" x14ac:dyDescent="0.2">
      <c r="A12" s="5">
        <v>10</v>
      </c>
      <c r="B12" s="6" t="s">
        <v>149</v>
      </c>
      <c r="C12" s="4">
        <v>0.79584646224975586</v>
      </c>
    </row>
    <row r="13" spans="1:3" x14ac:dyDescent="0.2">
      <c r="A13" s="5">
        <v>11</v>
      </c>
      <c r="B13" s="6" t="s">
        <v>150</v>
      </c>
      <c r="C13" s="4">
        <v>0.77019798755645752</v>
      </c>
    </row>
    <row r="14" spans="1:3" x14ac:dyDescent="0.2">
      <c r="A14" s="5">
        <v>12</v>
      </c>
      <c r="B14" s="6" t="s">
        <v>151</v>
      </c>
      <c r="C14" s="4">
        <v>0.73244732618331909</v>
      </c>
    </row>
    <row r="15" spans="1:3" x14ac:dyDescent="0.2">
      <c r="A15" s="5">
        <v>13</v>
      </c>
      <c r="B15" s="6" t="s">
        <v>147</v>
      </c>
      <c r="C15" s="4">
        <v>0.72601860761642456</v>
      </c>
    </row>
    <row r="16" spans="1:3" x14ac:dyDescent="0.2">
      <c r="A16" s="5">
        <v>14</v>
      </c>
      <c r="B16" s="6" t="s">
        <v>148</v>
      </c>
      <c r="C16" s="4">
        <v>0.66122019290924072</v>
      </c>
    </row>
    <row r="17" spans="1:3" x14ac:dyDescent="0.2">
      <c r="A17" s="5">
        <v>15</v>
      </c>
      <c r="B17" s="6" t="s">
        <v>152</v>
      </c>
      <c r="C17" s="4">
        <v>0.61976301670074463</v>
      </c>
    </row>
    <row r="18" spans="1:3" x14ac:dyDescent="0.2">
      <c r="A18" s="5">
        <v>16</v>
      </c>
      <c r="B18" s="6" t="s">
        <v>153</v>
      </c>
      <c r="C18" s="4">
        <v>0.61066687107086182</v>
      </c>
    </row>
    <row r="19" spans="1:3" x14ac:dyDescent="0.2">
      <c r="A19" s="5">
        <v>17</v>
      </c>
      <c r="B19" s="6" t="s">
        <v>154</v>
      </c>
      <c r="C19" s="4">
        <v>0.57534295320510864</v>
      </c>
    </row>
    <row r="20" spans="1:3" x14ac:dyDescent="0.2">
      <c r="A20" s="5">
        <v>18</v>
      </c>
      <c r="B20" s="6" t="s">
        <v>157</v>
      </c>
      <c r="C20" s="4">
        <v>0.5705873966217041</v>
      </c>
    </row>
    <row r="21" spans="1:3" x14ac:dyDescent="0.2">
      <c r="A21" s="5">
        <v>19</v>
      </c>
      <c r="B21" s="6" t="s">
        <v>158</v>
      </c>
      <c r="C21" s="4">
        <v>0.53677231073379517</v>
      </c>
    </row>
    <row r="22" spans="1:3" x14ac:dyDescent="0.2">
      <c r="A22" s="5">
        <v>20</v>
      </c>
      <c r="B22" s="6" t="s">
        <v>159</v>
      </c>
      <c r="C22" s="4">
        <v>0.53531825542449951</v>
      </c>
    </row>
    <row r="23" spans="1:3" x14ac:dyDescent="0.2">
      <c r="A23" s="5">
        <v>21</v>
      </c>
      <c r="B23" s="6" t="s">
        <v>155</v>
      </c>
      <c r="C23" s="4">
        <v>0.4700932502746582</v>
      </c>
    </row>
    <row r="24" spans="1:3" x14ac:dyDescent="0.2">
      <c r="A24" s="5">
        <v>22</v>
      </c>
      <c r="B24" s="6" t="s">
        <v>156</v>
      </c>
      <c r="C24" s="4">
        <v>0.46023190021514893</v>
      </c>
    </row>
    <row r="25" spans="1:3" x14ac:dyDescent="0.2">
      <c r="A25" s="5">
        <v>23</v>
      </c>
      <c r="B25" s="6" t="s">
        <v>160</v>
      </c>
      <c r="C25" s="4">
        <v>0.44095736742019653</v>
      </c>
    </row>
    <row r="26" spans="1:3" x14ac:dyDescent="0.2">
      <c r="A26" s="5">
        <v>24</v>
      </c>
      <c r="B26" s="6" t="s">
        <v>161</v>
      </c>
      <c r="C26" s="4">
        <v>0.42554205656051636</v>
      </c>
    </row>
    <row r="27" spans="1:3" x14ac:dyDescent="0.2">
      <c r="A27" s="5">
        <v>25</v>
      </c>
      <c r="B27" s="6" t="s">
        <v>162</v>
      </c>
      <c r="C27" s="4">
        <v>0.41618365049362183</v>
      </c>
    </row>
    <row r="28" spans="1:3" x14ac:dyDescent="0.2">
      <c r="A28" s="5">
        <v>26</v>
      </c>
      <c r="B28" s="6" t="s">
        <v>164</v>
      </c>
      <c r="C28" s="4">
        <v>0.39595800638198853</v>
      </c>
    </row>
    <row r="29" spans="1:3" x14ac:dyDescent="0.2">
      <c r="A29" s="5">
        <v>27</v>
      </c>
      <c r="B29" s="6" t="s">
        <v>168</v>
      </c>
      <c r="C29" s="4">
        <v>0.31322956085205078</v>
      </c>
    </row>
    <row r="30" spans="1:3" x14ac:dyDescent="0.2">
      <c r="A30" s="5">
        <v>28</v>
      </c>
      <c r="B30" s="6" t="s">
        <v>166</v>
      </c>
      <c r="C30" s="4">
        <v>0.24776387214660645</v>
      </c>
    </row>
    <row r="31" spans="1:3" x14ac:dyDescent="0.2">
      <c r="A31" s="5">
        <v>29</v>
      </c>
      <c r="B31" s="6" t="s">
        <v>163</v>
      </c>
      <c r="C31" s="4">
        <v>0.24034088850021362</v>
      </c>
    </row>
    <row r="32" spans="1:3" x14ac:dyDescent="0.2">
      <c r="A32" s="5">
        <v>30</v>
      </c>
      <c r="B32" s="6" t="s">
        <v>165</v>
      </c>
      <c r="C32" s="4">
        <v>0.22828185558319092</v>
      </c>
    </row>
    <row r="33" spans="1:3" x14ac:dyDescent="0.2">
      <c r="A33" s="5">
        <v>31</v>
      </c>
      <c r="B33" s="6" t="s">
        <v>167</v>
      </c>
      <c r="C33" s="4">
        <v>0.22222495079040527</v>
      </c>
    </row>
    <row r="34" spans="1:3" x14ac:dyDescent="0.2">
      <c r="A34" s="5">
        <v>32</v>
      </c>
      <c r="B34" s="6" t="s">
        <v>169</v>
      </c>
      <c r="C34" s="4">
        <v>0.20300519466400146</v>
      </c>
    </row>
    <row r="35" spans="1:3" x14ac:dyDescent="0.2">
      <c r="A35" s="5">
        <v>33</v>
      </c>
      <c r="B35" s="6" t="s">
        <v>170</v>
      </c>
      <c r="C35" s="4">
        <v>0.17892032861709595</v>
      </c>
    </row>
    <row r="36" spans="1:3" x14ac:dyDescent="0.2">
      <c r="A36" s="5">
        <v>34</v>
      </c>
      <c r="B36" s="6" t="s">
        <v>172</v>
      </c>
      <c r="C36" s="4">
        <v>0.16313320398330688</v>
      </c>
    </row>
    <row r="37" spans="1:3" x14ac:dyDescent="0.2">
      <c r="A37" s="5">
        <v>35</v>
      </c>
      <c r="B37" s="6" t="s">
        <v>174</v>
      </c>
      <c r="C37" s="4">
        <v>8.3105385303497314E-2</v>
      </c>
    </row>
    <row r="38" spans="1:3" x14ac:dyDescent="0.2">
      <c r="A38" s="5">
        <v>36</v>
      </c>
      <c r="B38" s="6" t="s">
        <v>175</v>
      </c>
      <c r="C38" s="4">
        <v>6.7318260669708252E-2</v>
      </c>
    </row>
    <row r="39" spans="1:3" x14ac:dyDescent="0.2">
      <c r="A39" s="5">
        <v>37</v>
      </c>
      <c r="B39" s="6" t="s">
        <v>171</v>
      </c>
      <c r="C39" s="4">
        <v>4.651331901550293E-2</v>
      </c>
    </row>
    <row r="40" spans="1:3" x14ac:dyDescent="0.2">
      <c r="A40" s="5">
        <v>38</v>
      </c>
      <c r="B40" s="6" t="s">
        <v>173</v>
      </c>
      <c r="C40" s="4">
        <v>3.8740098476409912E-2</v>
      </c>
    </row>
    <row r="41" spans="1:3" x14ac:dyDescent="0.2">
      <c r="A41" s="5">
        <v>39</v>
      </c>
      <c r="B41" s="6" t="s">
        <v>176</v>
      </c>
      <c r="C41" s="4">
        <v>3.8106024265289307E-2</v>
      </c>
    </row>
    <row r="42" spans="1:3" x14ac:dyDescent="0.2">
      <c r="A42" s="5">
        <v>40</v>
      </c>
      <c r="B42" s="6" t="s">
        <v>177</v>
      </c>
      <c r="C42" s="4">
        <v>1.1506438255310059E-2</v>
      </c>
    </row>
  </sheetData>
  <sheetProtection sheet="1" objects="1" scenarios="1" selectLockedCells="1"/>
  <sortState xmlns:xlrd2="http://schemas.microsoft.com/office/spreadsheetml/2017/richdata2" ref="B3:C42">
    <sortCondition descending="1" ref="C3"/>
    <sortCondition ref="B3"/>
  </sortState>
  <phoneticPr fontId="26" type="noConversion"/>
  <pageMargins left="0.7" right="0.7" top="0.75" bottom="0.75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1"/>
  <sheetViews>
    <sheetView showGridLines="0" workbookViewId="0">
      <pane ySplit="2" topLeftCell="A3" activePane="bottomLeft" state="frozen"/>
      <selection pane="bottomLeft" activeCell="A3" sqref="A3"/>
    </sheetView>
  </sheetViews>
  <sheetFormatPr defaultColWidth="10.8515625" defaultRowHeight="15" x14ac:dyDescent="0.2"/>
  <cols>
    <col min="1" max="1" width="5.91796875" style="1" customWidth="1"/>
    <col min="2" max="2" width="50.92578125" style="1" customWidth="1"/>
    <col min="3" max="4" width="10.8515625" style="1"/>
    <col min="5" max="26" width="0" style="1" hidden="1" customWidth="1"/>
    <col min="27" max="16384" width="10.8515625" style="1"/>
  </cols>
  <sheetData>
    <row r="1" spans="1:8" ht="21" x14ac:dyDescent="0.25">
      <c r="B1" s="2" t="s">
        <v>2</v>
      </c>
    </row>
    <row r="2" spans="1:8" x14ac:dyDescent="0.2">
      <c r="B2" s="3" t="s">
        <v>1</v>
      </c>
    </row>
    <row r="3" spans="1:8" x14ac:dyDescent="0.2">
      <c r="A3" s="7" t="s">
        <v>3</v>
      </c>
      <c r="E3" s="1">
        <v>1</v>
      </c>
      <c r="F3" s="1">
        <v>2</v>
      </c>
      <c r="G3" s="1">
        <v>3</v>
      </c>
      <c r="H3" s="1">
        <v>4</v>
      </c>
    </row>
    <row r="4" spans="1:8" x14ac:dyDescent="0.2">
      <c r="A4" s="1">
        <v>1</v>
      </c>
      <c r="B4" s="1" t="str">
        <f>VLOOKUP($A4, Equipes!$A$2:$B$42, 2, FALSE)</f>
        <v>RUAS(CEPE)</v>
      </c>
      <c r="E4" s="1">
        <v>5</v>
      </c>
      <c r="F4" s="1">
        <v>6</v>
      </c>
      <c r="G4" s="1">
        <v>7</v>
      </c>
      <c r="H4" s="1">
        <v>8</v>
      </c>
    </row>
    <row r="5" spans="1:8" x14ac:dyDescent="0.2">
      <c r="A5" s="1">
        <v>2</v>
      </c>
      <c r="B5" s="1" t="str">
        <f>VLOOKUP($A5, Equipes!$A$2:$B$42, 2, FALSE)</f>
        <v>MARCOS WILLOW(SCCP)</v>
      </c>
    </row>
    <row r="6" spans="1:8" x14ac:dyDescent="0.2">
      <c r="A6" s="1">
        <v>3</v>
      </c>
      <c r="B6" s="1" t="str">
        <f>VLOOKUP($A6, Equipes!$A$2:$B$42, 2, FALSE)</f>
        <v>SALLYS(SPFC)</v>
      </c>
    </row>
    <row r="7" spans="1:8" x14ac:dyDescent="0.2">
      <c r="A7" s="1">
        <v>4</v>
      </c>
      <c r="B7" s="1" t="str">
        <f>VLOOKUP($A7, Equipes!$A$2:$B$42, 2, FALSE)</f>
        <v>PROFESSOR(LTVL)</v>
      </c>
    </row>
    <row r="8" spans="1:8" x14ac:dyDescent="0.2">
      <c r="A8" s="1">
        <v>5</v>
      </c>
      <c r="B8" s="1" t="str">
        <f>VLOOKUP($A8, Equipes!$A$2:$B$42, 2, FALSE)</f>
        <v>CLÉO JR (CEPE)</v>
      </c>
    </row>
    <row r="9" spans="1:8" x14ac:dyDescent="0.2">
      <c r="A9" s="1">
        <v>6</v>
      </c>
      <c r="B9" s="1" t="str">
        <f>VLOOKUP($A9, Equipes!$A$2:$B$42, 2, FALSE)</f>
        <v>COELHO(SCCP)</v>
      </c>
    </row>
    <row r="10" spans="1:8" x14ac:dyDescent="0.2">
      <c r="A10" s="1">
        <v>7</v>
      </c>
      <c r="B10" s="1" t="str">
        <f>VLOOKUP($A10, Equipes!$A$2:$B$42, 2, FALSE)</f>
        <v>AURÉLIO(BF)</v>
      </c>
    </row>
    <row r="11" spans="1:8" x14ac:dyDescent="0.2">
      <c r="A11" s="1">
        <v>8</v>
      </c>
      <c r="B11" s="1" t="str">
        <f>VLOOKUP($A11, Equipes!$A$2:$B$42, 2, FALSE)</f>
        <v>CORTEZ(MZ)</v>
      </c>
    </row>
    <row r="13" spans="1:8" x14ac:dyDescent="0.2">
      <c r="A13" s="7" t="s">
        <v>4</v>
      </c>
      <c r="E13" s="1">
        <v>9</v>
      </c>
      <c r="F13" s="1">
        <v>10</v>
      </c>
      <c r="G13" s="1">
        <v>11</v>
      </c>
      <c r="H13" s="1">
        <v>12</v>
      </c>
    </row>
    <row r="14" spans="1:8" x14ac:dyDescent="0.2">
      <c r="A14" s="1">
        <v>9</v>
      </c>
      <c r="B14" s="1" t="str">
        <f>VLOOKUP($A14, Equipes!$A$2:$B$42, 2, FALSE)</f>
        <v>TABAJARA(CEPE)</v>
      </c>
      <c r="E14" s="1">
        <v>13</v>
      </c>
      <c r="F14" s="1">
        <v>14</v>
      </c>
      <c r="G14" s="1">
        <v>15</v>
      </c>
      <c r="H14" s="1">
        <v>16</v>
      </c>
    </row>
    <row r="15" spans="1:8" x14ac:dyDescent="0.2">
      <c r="A15" s="1">
        <v>10</v>
      </c>
      <c r="B15" s="1" t="str">
        <f>VLOOKUP($A15, Equipes!$A$2:$B$42, 2, FALSE)</f>
        <v>REGINALDO(SCCP)</v>
      </c>
    </row>
    <row r="16" spans="1:8" x14ac:dyDescent="0.2">
      <c r="A16" s="1">
        <v>11</v>
      </c>
      <c r="B16" s="1" t="str">
        <f>VLOOKUP($A16, Equipes!$A$2:$B$42, 2, FALSE)</f>
        <v>ELSIO(SPFC)</v>
      </c>
    </row>
    <row r="17" spans="1:8" x14ac:dyDescent="0.2">
      <c r="A17" s="1">
        <v>12</v>
      </c>
      <c r="B17" s="1" t="str">
        <f>VLOOKUP($A17, Equipes!$A$2:$B$42, 2, FALSE)</f>
        <v>MARIELCIO(LTVL)</v>
      </c>
    </row>
    <row r="18" spans="1:8" x14ac:dyDescent="0.2">
      <c r="A18" s="1">
        <v>13</v>
      </c>
      <c r="B18" s="1" t="str">
        <f>VLOOKUP($A18, Equipes!$A$2:$B$42, 2, FALSE)</f>
        <v>DIOGO(CEPE)</v>
      </c>
    </row>
    <row r="19" spans="1:8" x14ac:dyDescent="0.2">
      <c r="A19" s="1">
        <v>14</v>
      </c>
      <c r="B19" s="1" t="str">
        <f>VLOOKUP($A19, Equipes!$A$2:$B$42, 2, FALSE)</f>
        <v>VINICIUS ROLIM(SCCP)</v>
      </c>
    </row>
    <row r="20" spans="1:8" x14ac:dyDescent="0.2">
      <c r="A20" s="1">
        <v>15</v>
      </c>
      <c r="B20" s="1" t="str">
        <f>VLOOKUP($A20, Equipes!$A$2:$B$42, 2, FALSE)</f>
        <v>AUGUSTO(BF)</v>
      </c>
    </row>
    <row r="21" spans="1:8" x14ac:dyDescent="0.2">
      <c r="A21" s="1">
        <v>16</v>
      </c>
      <c r="B21" s="1" t="str">
        <f>VLOOKUP($A21, Equipes!$A$2:$B$42, 2, FALSE)</f>
        <v>LUIZ COELHO(MZ)</v>
      </c>
    </row>
    <row r="23" spans="1:8" x14ac:dyDescent="0.2">
      <c r="A23" s="7" t="s">
        <v>5</v>
      </c>
      <c r="E23" s="1">
        <v>17</v>
      </c>
      <c r="F23" s="1">
        <v>18</v>
      </c>
      <c r="G23" s="1">
        <v>19</v>
      </c>
      <c r="H23" s="1">
        <v>20</v>
      </c>
    </row>
    <row r="24" spans="1:8" x14ac:dyDescent="0.2">
      <c r="A24" s="1">
        <v>17</v>
      </c>
      <c r="B24" s="1" t="str">
        <f>VLOOKUP($A24, Equipes!$A$2:$B$42, 2, FALSE)</f>
        <v>AFONSO(CEPE)</v>
      </c>
      <c r="E24" s="1">
        <v>21</v>
      </c>
      <c r="F24" s="1">
        <v>22</v>
      </c>
      <c r="G24" s="1">
        <v>23</v>
      </c>
      <c r="H24" s="1">
        <v>24</v>
      </c>
    </row>
    <row r="25" spans="1:8" x14ac:dyDescent="0.2">
      <c r="A25" s="1">
        <v>18</v>
      </c>
      <c r="B25" s="1" t="str">
        <f>VLOOKUP($A25, Equipes!$A$2:$B$42, 2, FALSE)</f>
        <v>MARIELCINHO(LTVL)</v>
      </c>
    </row>
    <row r="26" spans="1:8" x14ac:dyDescent="0.2">
      <c r="A26" s="1">
        <v>19</v>
      </c>
      <c r="B26" s="1" t="str">
        <f>VLOOKUP($A26, Equipes!$A$2:$B$42, 2, FALSE)</f>
        <v>WAGNER(SPFC)</v>
      </c>
    </row>
    <row r="27" spans="1:8" x14ac:dyDescent="0.2">
      <c r="A27" s="1">
        <v>20</v>
      </c>
      <c r="B27" s="1" t="str">
        <f>VLOOKUP($A27, Equipes!$A$2:$B$42, 2, FALSE)</f>
        <v>MARCOS MATTOS(BF)</v>
      </c>
    </row>
    <row r="28" spans="1:8" x14ac:dyDescent="0.2">
      <c r="A28" s="1">
        <v>21</v>
      </c>
      <c r="B28" s="1" t="str">
        <f>VLOOKUP($A28, Equipes!$A$2:$B$42, 2, FALSE)</f>
        <v>FÉLIX(CEPE)</v>
      </c>
    </row>
    <row r="29" spans="1:8" x14ac:dyDescent="0.2">
      <c r="A29" s="1">
        <v>22</v>
      </c>
      <c r="B29" s="1" t="str">
        <f>VLOOKUP($A29, Equipes!$A$2:$B$42, 2, FALSE)</f>
        <v>ELCIO(LTVL)</v>
      </c>
    </row>
    <row r="30" spans="1:8" x14ac:dyDescent="0.2">
      <c r="A30" s="1">
        <v>23</v>
      </c>
      <c r="B30" s="1" t="str">
        <f>VLOOKUP($A30, Equipes!$A$2:$B$42, 2, FALSE)</f>
        <v>SÉRGIO BARREIRA(SCCP)</v>
      </c>
    </row>
    <row r="31" spans="1:8" x14ac:dyDescent="0.2">
      <c r="A31" s="1">
        <v>24</v>
      </c>
      <c r="B31" s="1" t="str">
        <f>VLOOKUP($A31, Equipes!$A$2:$B$42, 2, FALSE)</f>
        <v>MARIO MILI(MZ)</v>
      </c>
    </row>
    <row r="33" spans="1:8" x14ac:dyDescent="0.2">
      <c r="A33" s="7" t="s">
        <v>6</v>
      </c>
      <c r="E33" s="1">
        <v>25</v>
      </c>
      <c r="F33" s="1">
        <v>26</v>
      </c>
      <c r="G33" s="1">
        <v>27</v>
      </c>
      <c r="H33" s="1">
        <v>28</v>
      </c>
    </row>
    <row r="34" spans="1:8" x14ac:dyDescent="0.2">
      <c r="A34" s="1">
        <v>25</v>
      </c>
      <c r="B34" s="1" t="str">
        <f>VLOOKUP($A34, Equipes!$A$2:$B$42, 2, FALSE)</f>
        <v>MARCÃO SILVA(SPFC)</v>
      </c>
      <c r="E34" s="1">
        <v>29</v>
      </c>
      <c r="F34" s="1">
        <v>30</v>
      </c>
      <c r="G34" s="1">
        <v>31</v>
      </c>
      <c r="H34" s="1">
        <v>32</v>
      </c>
    </row>
    <row r="35" spans="1:8" x14ac:dyDescent="0.2">
      <c r="A35" s="1">
        <v>26</v>
      </c>
      <c r="B35" s="1" t="str">
        <f>VLOOKUP($A35, Equipes!$A$2:$B$42, 2, FALSE)</f>
        <v>RAFAEL BALIEIRO(LTVL)</v>
      </c>
    </row>
    <row r="36" spans="1:8" x14ac:dyDescent="0.2">
      <c r="A36" s="1">
        <v>27</v>
      </c>
      <c r="B36" s="1" t="str">
        <f>VLOOKUP($A36, Equipes!$A$2:$B$42, 2, FALSE)</f>
        <v>DJ IURY(BF)</v>
      </c>
    </row>
    <row r="37" spans="1:8" x14ac:dyDescent="0.2">
      <c r="A37" s="1">
        <v>28</v>
      </c>
      <c r="B37" s="1" t="str">
        <f>VLOOKUP($A37, Equipes!$A$2:$B$42, 2, FALSE)</f>
        <v>CHARLEAUX(CEPE)</v>
      </c>
    </row>
    <row r="38" spans="1:8" x14ac:dyDescent="0.2">
      <c r="A38" s="1">
        <v>29</v>
      </c>
      <c r="B38" s="1" t="str">
        <f>VLOOKUP($A38, Equipes!$A$2:$B$42, 2, FALSE)</f>
        <v>PABLO MARTINS(SPFC)</v>
      </c>
    </row>
    <row r="39" spans="1:8" x14ac:dyDescent="0.2">
      <c r="A39" s="1">
        <v>30</v>
      </c>
      <c r="B39" s="1" t="str">
        <f>VLOOKUP($A39, Equipes!$A$2:$B$42, 2, FALSE)</f>
        <v>GUANABARA(LTVL)</v>
      </c>
    </row>
    <row r="40" spans="1:8" x14ac:dyDescent="0.2">
      <c r="A40" s="1">
        <v>31</v>
      </c>
      <c r="B40" s="1" t="str">
        <f>VLOOKUP($A40, Equipes!$A$2:$B$42, 2, FALSE)</f>
        <v>GALDEANO(SCCP)</v>
      </c>
    </row>
    <row r="41" spans="1:8" x14ac:dyDescent="0.2">
      <c r="A41" s="1">
        <v>32</v>
      </c>
      <c r="B41" s="1" t="str">
        <f>VLOOKUP($A41, Equipes!$A$2:$B$42, 2, FALSE)</f>
        <v>BERGAMINI(MZ)</v>
      </c>
    </row>
    <row r="43" spans="1:8" x14ac:dyDescent="0.2">
      <c r="A43" s="7" t="s">
        <v>7</v>
      </c>
      <c r="E43" s="1">
        <v>33</v>
      </c>
      <c r="F43" s="1">
        <v>34</v>
      </c>
      <c r="G43" s="1">
        <v>35</v>
      </c>
      <c r="H43" s="1">
        <v>36</v>
      </c>
    </row>
    <row r="44" spans="1:8" x14ac:dyDescent="0.2">
      <c r="A44" s="1">
        <v>33</v>
      </c>
      <c r="B44" s="1" t="str">
        <f>VLOOKUP($A44, Equipes!$A$2:$B$42, 2, FALSE)</f>
        <v>LÉO CARIOCA(MZ)</v>
      </c>
      <c r="E44" s="1">
        <v>37</v>
      </c>
      <c r="F44" s="1">
        <v>38</v>
      </c>
      <c r="G44" s="1">
        <v>39</v>
      </c>
      <c r="H44" s="1">
        <v>40</v>
      </c>
    </row>
    <row r="45" spans="1:8" x14ac:dyDescent="0.2">
      <c r="A45" s="1">
        <v>34</v>
      </c>
      <c r="B45" s="1" t="str">
        <f>VLOOKUP($A45, Equipes!$A$2:$B$42, 2, FALSE)</f>
        <v>ZÉ LUIZ(SPFC)</v>
      </c>
    </row>
    <row r="46" spans="1:8" x14ac:dyDescent="0.2">
      <c r="A46" s="1">
        <v>35</v>
      </c>
      <c r="B46" s="1" t="str">
        <f>VLOOKUP($A46, Equipes!$A$2:$B$42, 2, FALSE)</f>
        <v>TUPINAMBÁ(LTVL)</v>
      </c>
    </row>
    <row r="47" spans="1:8" x14ac:dyDescent="0.2">
      <c r="A47" s="1">
        <v>36</v>
      </c>
      <c r="B47" s="1" t="str">
        <f>VLOOKUP($A47, Equipes!$A$2:$B$42, 2, FALSE)</f>
        <v>RICARDO RAMALHO(BF)</v>
      </c>
    </row>
    <row r="48" spans="1:8" x14ac:dyDescent="0.2">
      <c r="A48" s="1">
        <v>37</v>
      </c>
      <c r="B48" s="1" t="str">
        <f>VLOOKUP($A48, Equipes!$A$2:$B$42, 2, FALSE)</f>
        <v>BRAGHETTO(MZ)</v>
      </c>
    </row>
    <row r="49" spans="1:2" x14ac:dyDescent="0.2">
      <c r="A49" s="1">
        <v>38</v>
      </c>
      <c r="B49" s="1" t="str">
        <f>VLOOKUP($A49, Equipes!$A$2:$B$42, 2, FALSE)</f>
        <v>PAULO ROBERTO(SPFC)</v>
      </c>
    </row>
    <row r="50" spans="1:2" x14ac:dyDescent="0.2">
      <c r="A50" s="1">
        <v>39</v>
      </c>
      <c r="B50" s="1" t="str">
        <f>VLOOKUP($A50, Equipes!$A$2:$B$42, 2, FALSE)</f>
        <v>RODRIGO MORO(SCCP)</v>
      </c>
    </row>
    <row r="51" spans="1:2" x14ac:dyDescent="0.2">
      <c r="A51" s="1">
        <v>40</v>
      </c>
      <c r="B51" s="1" t="str">
        <f>VLOOKUP($A51, Equipes!$A$2:$B$42, 2, FALSE)</f>
        <v>PEPE 2004(CEPE)</v>
      </c>
    </row>
  </sheetData>
  <sheetProtection sheet="1" objects="1" scenarios="1" selectLockedCells="1"/>
  <phoneticPr fontId="26" type="noConversion"/>
  <pageMargins left="0.7" right="0.7" top="0.75" bottom="0.75" header="0.3" footer="0.3"/>
  <pageSetup paperSize="9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49"/>
  <sheetViews>
    <sheetView showGridLines="0" topLeftCell="B1" zoomScale="98" zoomScaleNormal="98" zoomScalePageLayoutView="160" workbookViewId="0">
      <pane ySplit="2" topLeftCell="B130" activePane="bottomLeft" state="frozen"/>
      <selection activeCell="B1" sqref="B1"/>
      <selection pane="bottomLeft" activeCell="E138" sqref="E138"/>
    </sheetView>
  </sheetViews>
  <sheetFormatPr defaultColWidth="10.8515625" defaultRowHeight="15" x14ac:dyDescent="0.2"/>
  <cols>
    <col min="1" max="1" width="2.8359375" style="8" hidden="1" customWidth="1"/>
    <col min="2" max="2" width="40.81640625" style="9" customWidth="1"/>
    <col min="3" max="5" width="4.9296875" style="10" customWidth="1"/>
    <col min="6" max="6" width="40.81640625" style="11" customWidth="1"/>
    <col min="7" max="7" width="2.8359375" style="8" hidden="1" customWidth="1"/>
    <col min="8" max="10" width="8.875" style="9" customWidth="1"/>
    <col min="11" max="11" width="10.8515625" style="9"/>
    <col min="12" max="12" width="10.8515625" style="1"/>
    <col min="13" max="23" width="5.91796875" style="9" hidden="1" customWidth="1"/>
    <col min="24" max="16384" width="10.8515625" style="1"/>
  </cols>
  <sheetData>
    <row r="1" spans="1:23" ht="21" x14ac:dyDescent="0.25">
      <c r="B1" s="2" t="s">
        <v>8</v>
      </c>
      <c r="M1" s="9" t="s">
        <v>9</v>
      </c>
    </row>
    <row r="2" spans="1:23" x14ac:dyDescent="0.2">
      <c r="B2" s="3" t="s">
        <v>1</v>
      </c>
      <c r="M2" s="9">
        <v>140</v>
      </c>
    </row>
    <row r="3" spans="1:23" x14ac:dyDescent="0.2">
      <c r="B3" s="13" t="s">
        <v>10</v>
      </c>
      <c r="C3" s="14"/>
      <c r="D3" s="14"/>
      <c r="E3" s="14"/>
      <c r="F3" s="15"/>
      <c r="G3" s="16"/>
      <c r="H3" s="13" t="s">
        <v>11</v>
      </c>
      <c r="I3" s="13" t="s">
        <v>12</v>
      </c>
      <c r="J3" s="13" t="s">
        <v>13</v>
      </c>
      <c r="K3" s="17">
        <v>45340.513888888891</v>
      </c>
      <c r="M3" s="12" t="s">
        <v>14</v>
      </c>
      <c r="N3" s="12" t="s">
        <v>14</v>
      </c>
      <c r="O3" s="12" t="s">
        <v>15</v>
      </c>
      <c r="P3" s="12" t="s">
        <v>16</v>
      </c>
      <c r="Q3" s="12" t="s">
        <v>16</v>
      </c>
      <c r="R3" s="12" t="s">
        <v>17</v>
      </c>
      <c r="S3" s="12" t="s">
        <v>18</v>
      </c>
      <c r="T3" s="12" t="s">
        <v>19</v>
      </c>
      <c r="U3" s="12" t="s">
        <v>15</v>
      </c>
      <c r="V3" s="12" t="s">
        <v>20</v>
      </c>
      <c r="W3" s="12" t="s">
        <v>21</v>
      </c>
    </row>
    <row r="4" spans="1:23" x14ac:dyDescent="0.2">
      <c r="A4" s="8">
        <v>1</v>
      </c>
      <c r="B4" s="9" t="str">
        <f>VLOOKUP($A4, Equipes!$A$3:$B$42, 2, FALSE)</f>
        <v>RUAS(CEPE)</v>
      </c>
      <c r="C4" s="18">
        <v>2</v>
      </c>
      <c r="D4" s="10" t="s">
        <v>22</v>
      </c>
      <c r="E4" s="18">
        <v>2</v>
      </c>
      <c r="F4" s="11" t="str">
        <f>VLOOKUP($G4, Equipes!$A$3:$B$42, 2, FALSE)</f>
        <v>CLÉO JR (CEPE)</v>
      </c>
      <c r="G4" s="8">
        <v>5</v>
      </c>
      <c r="H4" s="9">
        <v>2</v>
      </c>
      <c r="I4" s="9" t="s">
        <v>23</v>
      </c>
      <c r="J4" s="9">
        <v>1</v>
      </c>
      <c r="M4" s="9" t="str">
        <f t="shared" ref="M4:M23" si="0">IF(OR(C4 = "",E4 = ""), "", B4)</f>
        <v>RUAS(CEPE)</v>
      </c>
      <c r="N4" s="9" t="str">
        <f t="shared" ref="N4:N23" si="1">IF(OR(C4 = "",E4 = ""), "", F4)</f>
        <v>CLÉO JR (CEPE)</v>
      </c>
      <c r="O4" s="9" t="str">
        <f t="shared" ref="O4:O23" si="2">IF(C4&gt;E4,B4, IF(E4&gt;C4,F4, ""))</f>
        <v/>
      </c>
      <c r="P4" s="9" t="str">
        <f t="shared" ref="P4:P23" si="3">IF(OR(C4 = "",E4 = ""), "", IF(C4=E4,B4, ""))</f>
        <v>RUAS(CEPE)</v>
      </c>
      <c r="Q4" s="9" t="str">
        <f t="shared" ref="Q4:Q23" si="4">IF(OR(C4 = "",E4 = ""), "", IF(C4=E4,F4, ""))</f>
        <v>CLÉO JR (CEPE)</v>
      </c>
      <c r="R4" s="9" t="str">
        <f t="shared" ref="R4:R23" si="5">IF(C4&gt;E4,F4, IF(E4&gt;C4,B4, ""))</f>
        <v/>
      </c>
      <c r="S4" s="9" t="str">
        <f t="shared" ref="S4:S23" si="6">IF(OR(C4 = "",E4 = ""), "", B4)</f>
        <v>RUAS(CEPE)</v>
      </c>
      <c r="T4" s="9">
        <f t="shared" ref="T4:T23" si="7">IF(C4 = "", "", C4)</f>
        <v>2</v>
      </c>
      <c r="U4" s="9" t="str">
        <f t="shared" ref="U4:U23" si="8">IF(OR(C4 = "",E4 = ""), "", F4)</f>
        <v>CLÉO JR (CEPE)</v>
      </c>
      <c r="V4" s="9">
        <f t="shared" ref="V4:V23" si="9">IF(E4 = "", "", E4)</f>
        <v>2</v>
      </c>
      <c r="W4" s="9">
        <f t="shared" ref="W4:W23" si="10">IF(C4 = "", "", C4)</f>
        <v>2</v>
      </c>
    </row>
    <row r="5" spans="1:23" x14ac:dyDescent="0.2">
      <c r="A5" s="8">
        <v>2</v>
      </c>
      <c r="B5" s="19" t="str">
        <f>VLOOKUP($A5, Equipes!$A$3:$B$42, 2, FALSE)</f>
        <v>MARCOS WILLOW(SCCP)</v>
      </c>
      <c r="C5" s="18">
        <v>4</v>
      </c>
      <c r="D5" s="20" t="s">
        <v>22</v>
      </c>
      <c r="E5" s="18">
        <v>2</v>
      </c>
      <c r="F5" s="21" t="str">
        <f>VLOOKUP($G5, Equipes!$A$3:$B$42, 2, FALSE)</f>
        <v>COELHO(SCCP)</v>
      </c>
      <c r="G5" s="22">
        <v>6</v>
      </c>
      <c r="H5" s="19">
        <v>10</v>
      </c>
      <c r="I5" s="19" t="s">
        <v>23</v>
      </c>
      <c r="J5" s="19">
        <v>1</v>
      </c>
      <c r="K5" s="19"/>
      <c r="M5" s="9" t="str">
        <f t="shared" si="0"/>
        <v>MARCOS WILLOW(SCCP)</v>
      </c>
      <c r="N5" s="9" t="str">
        <f t="shared" si="1"/>
        <v>COELHO(SCCP)</v>
      </c>
      <c r="O5" s="9" t="str">
        <f t="shared" si="2"/>
        <v>MARCOS WILLOW(SCCP)</v>
      </c>
      <c r="P5" s="9" t="str">
        <f t="shared" si="3"/>
        <v/>
      </c>
      <c r="Q5" s="9" t="str">
        <f t="shared" si="4"/>
        <v/>
      </c>
      <c r="R5" s="9" t="str">
        <f t="shared" si="5"/>
        <v>COELHO(SCCP)</v>
      </c>
      <c r="S5" s="9" t="str">
        <f t="shared" si="6"/>
        <v>MARCOS WILLOW(SCCP)</v>
      </c>
      <c r="T5" s="9">
        <f t="shared" si="7"/>
        <v>4</v>
      </c>
      <c r="U5" s="9" t="str">
        <f t="shared" si="8"/>
        <v>COELHO(SCCP)</v>
      </c>
      <c r="V5" s="9">
        <f t="shared" si="9"/>
        <v>2</v>
      </c>
      <c r="W5" s="9">
        <f t="shared" si="10"/>
        <v>4</v>
      </c>
    </row>
    <row r="6" spans="1:23" x14ac:dyDescent="0.2">
      <c r="A6" s="8">
        <v>3</v>
      </c>
      <c r="B6" s="9" t="str">
        <f>VLOOKUP($A6, Equipes!$A$3:$B$42, 2, FALSE)</f>
        <v>SALLYS(SPFC)</v>
      </c>
      <c r="C6" s="18">
        <v>1</v>
      </c>
      <c r="D6" s="10" t="s">
        <v>22</v>
      </c>
      <c r="E6" s="18">
        <v>3</v>
      </c>
      <c r="F6" s="11" t="str">
        <f>VLOOKUP($G6, Equipes!$A$3:$B$42, 2, FALSE)</f>
        <v>AURÉLIO(BF)</v>
      </c>
      <c r="G6" s="8">
        <v>7</v>
      </c>
      <c r="H6" s="9">
        <v>17</v>
      </c>
      <c r="I6" s="9" t="s">
        <v>23</v>
      </c>
      <c r="J6" s="9">
        <v>1</v>
      </c>
      <c r="M6" s="9" t="str">
        <f t="shared" si="0"/>
        <v>SALLYS(SPFC)</v>
      </c>
      <c r="N6" s="9" t="str">
        <f t="shared" si="1"/>
        <v>AURÉLIO(BF)</v>
      </c>
      <c r="O6" s="9" t="str">
        <f t="shared" si="2"/>
        <v>AURÉLIO(BF)</v>
      </c>
      <c r="P6" s="9" t="str">
        <f t="shared" si="3"/>
        <v/>
      </c>
      <c r="Q6" s="9" t="str">
        <f t="shared" si="4"/>
        <v/>
      </c>
      <c r="R6" s="9" t="str">
        <f t="shared" si="5"/>
        <v>SALLYS(SPFC)</v>
      </c>
      <c r="S6" s="9" t="str">
        <f t="shared" si="6"/>
        <v>SALLYS(SPFC)</v>
      </c>
      <c r="T6" s="9">
        <f t="shared" si="7"/>
        <v>1</v>
      </c>
      <c r="U6" s="9" t="str">
        <f t="shared" si="8"/>
        <v>AURÉLIO(BF)</v>
      </c>
      <c r="V6" s="9">
        <f t="shared" si="9"/>
        <v>3</v>
      </c>
      <c r="W6" s="9">
        <f t="shared" si="10"/>
        <v>1</v>
      </c>
    </row>
    <row r="7" spans="1:23" x14ac:dyDescent="0.2">
      <c r="A7" s="8">
        <v>4</v>
      </c>
      <c r="B7" s="19" t="str">
        <f>VLOOKUP($A7, Equipes!$A$3:$B$42, 2, FALSE)</f>
        <v>PROFESSOR(LTVL)</v>
      </c>
      <c r="C7" s="18">
        <v>0</v>
      </c>
      <c r="D7" s="20" t="s">
        <v>22</v>
      </c>
      <c r="E7" s="18">
        <v>0</v>
      </c>
      <c r="F7" s="21" t="str">
        <f>VLOOKUP($G7, Equipes!$A$3:$B$42, 2, FALSE)</f>
        <v>CORTEZ(MZ)</v>
      </c>
      <c r="G7" s="22">
        <v>8</v>
      </c>
      <c r="H7" s="19">
        <v>7</v>
      </c>
      <c r="I7" s="19" t="s">
        <v>23</v>
      </c>
      <c r="J7" s="19">
        <v>1</v>
      </c>
      <c r="K7" s="19"/>
      <c r="M7" s="9" t="str">
        <f t="shared" si="0"/>
        <v>PROFESSOR(LTVL)</v>
      </c>
      <c r="N7" s="9" t="str">
        <f t="shared" si="1"/>
        <v>CORTEZ(MZ)</v>
      </c>
      <c r="O7" s="9" t="str">
        <f t="shared" si="2"/>
        <v/>
      </c>
      <c r="P7" s="9" t="str">
        <f t="shared" si="3"/>
        <v>PROFESSOR(LTVL)</v>
      </c>
      <c r="Q7" s="9" t="str">
        <f t="shared" si="4"/>
        <v>CORTEZ(MZ)</v>
      </c>
      <c r="R7" s="9" t="str">
        <f t="shared" si="5"/>
        <v/>
      </c>
      <c r="S7" s="9" t="str">
        <f t="shared" si="6"/>
        <v>PROFESSOR(LTVL)</v>
      </c>
      <c r="T7" s="9">
        <f t="shared" si="7"/>
        <v>0</v>
      </c>
      <c r="U7" s="9" t="str">
        <f t="shared" si="8"/>
        <v>CORTEZ(MZ)</v>
      </c>
      <c r="V7" s="9">
        <f t="shared" si="9"/>
        <v>0</v>
      </c>
      <c r="W7" s="9">
        <f t="shared" si="10"/>
        <v>0</v>
      </c>
    </row>
    <row r="8" spans="1:23" x14ac:dyDescent="0.2">
      <c r="A8" s="8">
        <v>9</v>
      </c>
      <c r="B8" s="9" t="str">
        <f>VLOOKUP($A8, Equipes!$A$3:$B$42, 2, FALSE)</f>
        <v>TABAJARA(CEPE)</v>
      </c>
      <c r="C8" s="18">
        <v>4</v>
      </c>
      <c r="D8" s="10" t="s">
        <v>22</v>
      </c>
      <c r="E8" s="18">
        <v>0</v>
      </c>
      <c r="F8" s="11" t="str">
        <f>VLOOKUP($G8, Equipes!$A$3:$B$42, 2, FALSE)</f>
        <v>DIOGO(CEPE)</v>
      </c>
      <c r="G8" s="8">
        <v>13</v>
      </c>
      <c r="H8" s="9">
        <v>4</v>
      </c>
      <c r="I8" s="9" t="s">
        <v>24</v>
      </c>
      <c r="J8" s="9">
        <v>1</v>
      </c>
      <c r="M8" s="9" t="str">
        <f t="shared" si="0"/>
        <v>TABAJARA(CEPE)</v>
      </c>
      <c r="N8" s="9" t="str">
        <f t="shared" si="1"/>
        <v>DIOGO(CEPE)</v>
      </c>
      <c r="O8" s="9" t="str">
        <f t="shared" si="2"/>
        <v>TABAJARA(CEPE)</v>
      </c>
      <c r="P8" s="9" t="str">
        <f t="shared" si="3"/>
        <v/>
      </c>
      <c r="Q8" s="9" t="str">
        <f t="shared" si="4"/>
        <v/>
      </c>
      <c r="R8" s="9" t="str">
        <f t="shared" si="5"/>
        <v>DIOGO(CEPE)</v>
      </c>
      <c r="S8" s="9" t="str">
        <f t="shared" si="6"/>
        <v>TABAJARA(CEPE)</v>
      </c>
      <c r="T8" s="9">
        <f t="shared" si="7"/>
        <v>4</v>
      </c>
      <c r="U8" s="9" t="str">
        <f t="shared" si="8"/>
        <v>DIOGO(CEPE)</v>
      </c>
      <c r="V8" s="9">
        <f t="shared" si="9"/>
        <v>0</v>
      </c>
      <c r="W8" s="9">
        <f t="shared" si="10"/>
        <v>4</v>
      </c>
    </row>
    <row r="9" spans="1:23" x14ac:dyDescent="0.2">
      <c r="A9" s="8">
        <v>10</v>
      </c>
      <c r="B9" s="19" t="str">
        <f>VLOOKUP($A9, Equipes!$A$3:$B$42, 2, FALSE)</f>
        <v>REGINALDO(SCCP)</v>
      </c>
      <c r="C9" s="18">
        <v>1</v>
      </c>
      <c r="D9" s="20" t="s">
        <v>22</v>
      </c>
      <c r="E9" s="18">
        <v>2</v>
      </c>
      <c r="F9" s="21" t="str">
        <f>VLOOKUP($G9, Equipes!$A$3:$B$42, 2, FALSE)</f>
        <v>VINICIUS ROLIM(SCCP)</v>
      </c>
      <c r="G9" s="22">
        <v>14</v>
      </c>
      <c r="H9" s="19">
        <v>3</v>
      </c>
      <c r="I9" s="19" t="s">
        <v>24</v>
      </c>
      <c r="J9" s="19">
        <v>1</v>
      </c>
      <c r="K9" s="19"/>
      <c r="M9" s="9" t="str">
        <f t="shared" si="0"/>
        <v>REGINALDO(SCCP)</v>
      </c>
      <c r="N9" s="9" t="str">
        <f t="shared" si="1"/>
        <v>VINICIUS ROLIM(SCCP)</v>
      </c>
      <c r="O9" s="9" t="str">
        <f t="shared" si="2"/>
        <v>VINICIUS ROLIM(SCCP)</v>
      </c>
      <c r="P9" s="9" t="str">
        <f t="shared" si="3"/>
        <v/>
      </c>
      <c r="Q9" s="9" t="str">
        <f t="shared" si="4"/>
        <v/>
      </c>
      <c r="R9" s="9" t="str">
        <f t="shared" si="5"/>
        <v>REGINALDO(SCCP)</v>
      </c>
      <c r="S9" s="9" t="str">
        <f t="shared" si="6"/>
        <v>REGINALDO(SCCP)</v>
      </c>
      <c r="T9" s="9">
        <f t="shared" si="7"/>
        <v>1</v>
      </c>
      <c r="U9" s="9" t="str">
        <f t="shared" si="8"/>
        <v>VINICIUS ROLIM(SCCP)</v>
      </c>
      <c r="V9" s="9">
        <f t="shared" si="9"/>
        <v>2</v>
      </c>
      <c r="W9" s="9">
        <f t="shared" si="10"/>
        <v>1</v>
      </c>
    </row>
    <row r="10" spans="1:23" x14ac:dyDescent="0.2">
      <c r="A10" s="8">
        <v>11</v>
      </c>
      <c r="B10" s="9" t="str">
        <f>VLOOKUP($A10, Equipes!$A$3:$B$42, 2, FALSE)</f>
        <v>ELSIO(SPFC)</v>
      </c>
      <c r="C10" s="18">
        <v>3</v>
      </c>
      <c r="D10" s="10" t="s">
        <v>22</v>
      </c>
      <c r="E10" s="18">
        <v>2</v>
      </c>
      <c r="F10" s="11" t="str">
        <f>VLOOKUP($G10, Equipes!$A$3:$B$42, 2, FALSE)</f>
        <v>AUGUSTO(BF)</v>
      </c>
      <c r="G10" s="8">
        <v>15</v>
      </c>
      <c r="H10" s="9">
        <v>6</v>
      </c>
      <c r="I10" s="9" t="s">
        <v>24</v>
      </c>
      <c r="J10" s="9">
        <v>1</v>
      </c>
      <c r="M10" s="9" t="str">
        <f t="shared" si="0"/>
        <v>ELSIO(SPFC)</v>
      </c>
      <c r="N10" s="9" t="str">
        <f t="shared" si="1"/>
        <v>AUGUSTO(BF)</v>
      </c>
      <c r="O10" s="9" t="str">
        <f t="shared" si="2"/>
        <v>ELSIO(SPFC)</v>
      </c>
      <c r="P10" s="9" t="str">
        <f t="shared" si="3"/>
        <v/>
      </c>
      <c r="Q10" s="9" t="str">
        <f t="shared" si="4"/>
        <v/>
      </c>
      <c r="R10" s="9" t="str">
        <f t="shared" si="5"/>
        <v>AUGUSTO(BF)</v>
      </c>
      <c r="S10" s="9" t="str">
        <f t="shared" si="6"/>
        <v>ELSIO(SPFC)</v>
      </c>
      <c r="T10" s="9">
        <f t="shared" si="7"/>
        <v>3</v>
      </c>
      <c r="U10" s="9" t="str">
        <f t="shared" si="8"/>
        <v>AUGUSTO(BF)</v>
      </c>
      <c r="V10" s="9">
        <f t="shared" si="9"/>
        <v>2</v>
      </c>
      <c r="W10" s="9">
        <f t="shared" si="10"/>
        <v>3</v>
      </c>
    </row>
    <row r="11" spans="1:23" x14ac:dyDescent="0.2">
      <c r="A11" s="8">
        <v>12</v>
      </c>
      <c r="B11" s="19" t="str">
        <f>VLOOKUP($A11, Equipes!$A$3:$B$42, 2, FALSE)</f>
        <v>MARIELCIO(LTVL)</v>
      </c>
      <c r="C11" s="18">
        <v>0</v>
      </c>
      <c r="D11" s="20" t="s">
        <v>22</v>
      </c>
      <c r="E11" s="18">
        <v>1</v>
      </c>
      <c r="F11" s="21" t="str">
        <f>VLOOKUP($G11, Equipes!$A$3:$B$42, 2, FALSE)</f>
        <v>LUIZ COELHO(MZ)</v>
      </c>
      <c r="G11" s="22">
        <v>16</v>
      </c>
      <c r="H11" s="19">
        <v>19</v>
      </c>
      <c r="I11" s="19" t="s">
        <v>24</v>
      </c>
      <c r="J11" s="19">
        <v>1</v>
      </c>
      <c r="K11" s="19"/>
      <c r="M11" s="9" t="str">
        <f t="shared" si="0"/>
        <v>MARIELCIO(LTVL)</v>
      </c>
      <c r="N11" s="9" t="str">
        <f t="shared" si="1"/>
        <v>LUIZ COELHO(MZ)</v>
      </c>
      <c r="O11" s="9" t="str">
        <f t="shared" si="2"/>
        <v>LUIZ COELHO(MZ)</v>
      </c>
      <c r="P11" s="9" t="str">
        <f t="shared" si="3"/>
        <v/>
      </c>
      <c r="Q11" s="9" t="str">
        <f t="shared" si="4"/>
        <v/>
      </c>
      <c r="R11" s="9" t="str">
        <f t="shared" si="5"/>
        <v>MARIELCIO(LTVL)</v>
      </c>
      <c r="S11" s="9" t="str">
        <f t="shared" si="6"/>
        <v>MARIELCIO(LTVL)</v>
      </c>
      <c r="T11" s="9">
        <f t="shared" si="7"/>
        <v>0</v>
      </c>
      <c r="U11" s="9" t="str">
        <f t="shared" si="8"/>
        <v>LUIZ COELHO(MZ)</v>
      </c>
      <c r="V11" s="9">
        <f t="shared" si="9"/>
        <v>1</v>
      </c>
      <c r="W11" s="9">
        <f t="shared" si="10"/>
        <v>0</v>
      </c>
    </row>
    <row r="12" spans="1:23" x14ac:dyDescent="0.2">
      <c r="A12" s="8">
        <v>17</v>
      </c>
      <c r="B12" s="9" t="str">
        <f>VLOOKUP($A12, Equipes!$A$3:$B$42, 2, FALSE)</f>
        <v>AFONSO(CEPE)</v>
      </c>
      <c r="C12" s="18">
        <v>3</v>
      </c>
      <c r="D12" s="10" t="s">
        <v>22</v>
      </c>
      <c r="E12" s="18">
        <v>2</v>
      </c>
      <c r="F12" s="11" t="str">
        <f>VLOOKUP($G12, Equipes!$A$3:$B$42, 2, FALSE)</f>
        <v>FÉLIX(CEPE)</v>
      </c>
      <c r="G12" s="8">
        <v>21</v>
      </c>
      <c r="H12" s="9">
        <v>12</v>
      </c>
      <c r="I12" s="9" t="s">
        <v>25</v>
      </c>
      <c r="J12" s="9">
        <v>1</v>
      </c>
      <c r="M12" s="9" t="str">
        <f t="shared" si="0"/>
        <v>AFONSO(CEPE)</v>
      </c>
      <c r="N12" s="9" t="str">
        <f t="shared" si="1"/>
        <v>FÉLIX(CEPE)</v>
      </c>
      <c r="O12" s="9" t="str">
        <f t="shared" si="2"/>
        <v>AFONSO(CEPE)</v>
      </c>
      <c r="P12" s="9" t="str">
        <f t="shared" si="3"/>
        <v/>
      </c>
      <c r="Q12" s="9" t="str">
        <f t="shared" si="4"/>
        <v/>
      </c>
      <c r="R12" s="9" t="str">
        <f t="shared" si="5"/>
        <v>FÉLIX(CEPE)</v>
      </c>
      <c r="S12" s="9" t="str">
        <f t="shared" si="6"/>
        <v>AFONSO(CEPE)</v>
      </c>
      <c r="T12" s="9">
        <f t="shared" si="7"/>
        <v>3</v>
      </c>
      <c r="U12" s="9" t="str">
        <f t="shared" si="8"/>
        <v>FÉLIX(CEPE)</v>
      </c>
      <c r="V12" s="9">
        <f t="shared" si="9"/>
        <v>2</v>
      </c>
      <c r="W12" s="9">
        <f t="shared" si="10"/>
        <v>3</v>
      </c>
    </row>
    <row r="13" spans="1:23" x14ac:dyDescent="0.2">
      <c r="A13" s="8">
        <v>18</v>
      </c>
      <c r="B13" s="19" t="str">
        <f>VLOOKUP($A13, Equipes!$A$3:$B$42, 2, FALSE)</f>
        <v>MARIELCINHO(LTVL)</v>
      </c>
      <c r="C13" s="18">
        <v>0</v>
      </c>
      <c r="D13" s="20" t="s">
        <v>22</v>
      </c>
      <c r="E13" s="18">
        <v>1</v>
      </c>
      <c r="F13" s="21" t="str">
        <f>VLOOKUP($G13, Equipes!$A$3:$B$42, 2, FALSE)</f>
        <v>ELCIO(LTVL)</v>
      </c>
      <c r="G13" s="22">
        <v>22</v>
      </c>
      <c r="H13" s="19">
        <v>5</v>
      </c>
      <c r="I13" s="19" t="s">
        <v>25</v>
      </c>
      <c r="J13" s="19">
        <v>1</v>
      </c>
      <c r="K13" s="19"/>
      <c r="M13" s="9" t="str">
        <f t="shared" si="0"/>
        <v>MARIELCINHO(LTVL)</v>
      </c>
      <c r="N13" s="9" t="str">
        <f t="shared" si="1"/>
        <v>ELCIO(LTVL)</v>
      </c>
      <c r="O13" s="9" t="str">
        <f t="shared" si="2"/>
        <v>ELCIO(LTVL)</v>
      </c>
      <c r="P13" s="9" t="str">
        <f t="shared" si="3"/>
        <v/>
      </c>
      <c r="Q13" s="9" t="str">
        <f t="shared" si="4"/>
        <v/>
      </c>
      <c r="R13" s="9" t="str">
        <f t="shared" si="5"/>
        <v>MARIELCINHO(LTVL)</v>
      </c>
      <c r="S13" s="9" t="str">
        <f t="shared" si="6"/>
        <v>MARIELCINHO(LTVL)</v>
      </c>
      <c r="T13" s="9">
        <f t="shared" si="7"/>
        <v>0</v>
      </c>
      <c r="U13" s="9" t="str">
        <f t="shared" si="8"/>
        <v>ELCIO(LTVL)</v>
      </c>
      <c r="V13" s="9">
        <f t="shared" si="9"/>
        <v>1</v>
      </c>
      <c r="W13" s="9">
        <f t="shared" si="10"/>
        <v>0</v>
      </c>
    </row>
    <row r="14" spans="1:23" x14ac:dyDescent="0.2">
      <c r="A14" s="8">
        <v>19</v>
      </c>
      <c r="B14" s="9" t="str">
        <f>VLOOKUP($A14, Equipes!$A$3:$B$42, 2, FALSE)</f>
        <v>WAGNER(SPFC)</v>
      </c>
      <c r="C14" s="18">
        <v>1</v>
      </c>
      <c r="D14" s="10" t="s">
        <v>22</v>
      </c>
      <c r="E14" s="18">
        <v>0</v>
      </c>
      <c r="F14" s="11" t="str">
        <f>VLOOKUP($G14, Equipes!$A$3:$B$42, 2, FALSE)</f>
        <v>SÉRGIO BARREIRA(SCCP)</v>
      </c>
      <c r="G14" s="8">
        <v>23</v>
      </c>
      <c r="H14" s="9">
        <v>20</v>
      </c>
      <c r="I14" s="9" t="s">
        <v>25</v>
      </c>
      <c r="J14" s="9">
        <v>1</v>
      </c>
      <c r="M14" s="9" t="str">
        <f t="shared" si="0"/>
        <v>WAGNER(SPFC)</v>
      </c>
      <c r="N14" s="9" t="str">
        <f t="shared" si="1"/>
        <v>SÉRGIO BARREIRA(SCCP)</v>
      </c>
      <c r="O14" s="9" t="str">
        <f t="shared" si="2"/>
        <v>WAGNER(SPFC)</v>
      </c>
      <c r="P14" s="9" t="str">
        <f t="shared" si="3"/>
        <v/>
      </c>
      <c r="Q14" s="9" t="str">
        <f t="shared" si="4"/>
        <v/>
      </c>
      <c r="R14" s="9" t="str">
        <f t="shared" si="5"/>
        <v>SÉRGIO BARREIRA(SCCP)</v>
      </c>
      <c r="S14" s="9" t="str">
        <f t="shared" si="6"/>
        <v>WAGNER(SPFC)</v>
      </c>
      <c r="T14" s="9">
        <f t="shared" si="7"/>
        <v>1</v>
      </c>
      <c r="U14" s="9" t="str">
        <f t="shared" si="8"/>
        <v>SÉRGIO BARREIRA(SCCP)</v>
      </c>
      <c r="V14" s="9">
        <f t="shared" si="9"/>
        <v>0</v>
      </c>
      <c r="W14" s="9">
        <f t="shared" si="10"/>
        <v>1</v>
      </c>
    </row>
    <row r="15" spans="1:23" x14ac:dyDescent="0.2">
      <c r="A15" s="8">
        <v>20</v>
      </c>
      <c r="B15" s="19" t="str">
        <f>VLOOKUP($A15, Equipes!$A$3:$B$42, 2, FALSE)</f>
        <v>MARCOS MATTOS(BF)</v>
      </c>
      <c r="C15" s="18">
        <v>3</v>
      </c>
      <c r="D15" s="20" t="s">
        <v>22</v>
      </c>
      <c r="E15" s="18">
        <v>1</v>
      </c>
      <c r="F15" s="21" t="str">
        <f>VLOOKUP($G15, Equipes!$A$3:$B$42, 2, FALSE)</f>
        <v>MARIO MILI(MZ)</v>
      </c>
      <c r="G15" s="22">
        <v>24</v>
      </c>
      <c r="H15" s="19">
        <v>16</v>
      </c>
      <c r="I15" s="19" t="s">
        <v>25</v>
      </c>
      <c r="J15" s="19">
        <v>1</v>
      </c>
      <c r="K15" s="19"/>
      <c r="M15" s="9" t="str">
        <f t="shared" si="0"/>
        <v>MARCOS MATTOS(BF)</v>
      </c>
      <c r="N15" s="9" t="str">
        <f t="shared" si="1"/>
        <v>MARIO MILI(MZ)</v>
      </c>
      <c r="O15" s="9" t="str">
        <f t="shared" si="2"/>
        <v>MARCOS MATTOS(BF)</v>
      </c>
      <c r="P15" s="9" t="str">
        <f t="shared" si="3"/>
        <v/>
      </c>
      <c r="Q15" s="9" t="str">
        <f t="shared" si="4"/>
        <v/>
      </c>
      <c r="R15" s="9" t="str">
        <f t="shared" si="5"/>
        <v>MARIO MILI(MZ)</v>
      </c>
      <c r="S15" s="9" t="str">
        <f t="shared" si="6"/>
        <v>MARCOS MATTOS(BF)</v>
      </c>
      <c r="T15" s="9">
        <f t="shared" si="7"/>
        <v>3</v>
      </c>
      <c r="U15" s="9" t="str">
        <f t="shared" si="8"/>
        <v>MARIO MILI(MZ)</v>
      </c>
      <c r="V15" s="9">
        <f t="shared" si="9"/>
        <v>1</v>
      </c>
      <c r="W15" s="9">
        <f t="shared" si="10"/>
        <v>3</v>
      </c>
    </row>
    <row r="16" spans="1:23" x14ac:dyDescent="0.2">
      <c r="A16" s="8">
        <v>25</v>
      </c>
      <c r="B16" s="9" t="str">
        <f>VLOOKUP($A16, Equipes!$A$3:$B$42, 2, FALSE)</f>
        <v>MARCÃO SILVA(SPFC)</v>
      </c>
      <c r="C16" s="18">
        <v>3</v>
      </c>
      <c r="D16" s="10" t="s">
        <v>22</v>
      </c>
      <c r="E16" s="18">
        <v>3</v>
      </c>
      <c r="F16" s="11" t="str">
        <f>VLOOKUP($G16, Equipes!$A$3:$B$42, 2, FALSE)</f>
        <v>PABLO MARTINS(SPFC)</v>
      </c>
      <c r="G16" s="8">
        <v>29</v>
      </c>
      <c r="H16" s="9">
        <v>18</v>
      </c>
      <c r="I16" s="9" t="s">
        <v>17</v>
      </c>
      <c r="J16" s="9">
        <v>1</v>
      </c>
      <c r="M16" s="9" t="str">
        <f t="shared" si="0"/>
        <v>MARCÃO SILVA(SPFC)</v>
      </c>
      <c r="N16" s="9" t="str">
        <f t="shared" si="1"/>
        <v>PABLO MARTINS(SPFC)</v>
      </c>
      <c r="O16" s="9" t="str">
        <f t="shared" si="2"/>
        <v/>
      </c>
      <c r="P16" s="9" t="str">
        <f t="shared" si="3"/>
        <v>MARCÃO SILVA(SPFC)</v>
      </c>
      <c r="Q16" s="9" t="str">
        <f t="shared" si="4"/>
        <v>PABLO MARTINS(SPFC)</v>
      </c>
      <c r="R16" s="9" t="str">
        <f t="shared" si="5"/>
        <v/>
      </c>
      <c r="S16" s="9" t="str">
        <f t="shared" si="6"/>
        <v>MARCÃO SILVA(SPFC)</v>
      </c>
      <c r="T16" s="9">
        <f t="shared" si="7"/>
        <v>3</v>
      </c>
      <c r="U16" s="9" t="str">
        <f t="shared" si="8"/>
        <v>PABLO MARTINS(SPFC)</v>
      </c>
      <c r="V16" s="9">
        <f t="shared" si="9"/>
        <v>3</v>
      </c>
      <c r="W16" s="9">
        <f t="shared" si="10"/>
        <v>3</v>
      </c>
    </row>
    <row r="17" spans="1:23" x14ac:dyDescent="0.2">
      <c r="A17" s="8">
        <v>26</v>
      </c>
      <c r="B17" s="19" t="str">
        <f>VLOOKUP($A17, Equipes!$A$3:$B$42, 2, FALSE)</f>
        <v>RAFAEL BALIEIRO(LTVL)</v>
      </c>
      <c r="C17" s="18">
        <v>2</v>
      </c>
      <c r="D17" s="20" t="s">
        <v>22</v>
      </c>
      <c r="E17" s="18">
        <v>0</v>
      </c>
      <c r="F17" s="21" t="str">
        <f>VLOOKUP($G17, Equipes!$A$3:$B$42, 2, FALSE)</f>
        <v>GUANABARA(LTVL)</v>
      </c>
      <c r="G17" s="22">
        <v>30</v>
      </c>
      <c r="H17" s="19">
        <v>11</v>
      </c>
      <c r="I17" s="19" t="s">
        <v>17</v>
      </c>
      <c r="J17" s="19">
        <v>1</v>
      </c>
      <c r="K17" s="19"/>
      <c r="M17" s="9" t="str">
        <f t="shared" si="0"/>
        <v>RAFAEL BALIEIRO(LTVL)</v>
      </c>
      <c r="N17" s="9" t="str">
        <f t="shared" si="1"/>
        <v>GUANABARA(LTVL)</v>
      </c>
      <c r="O17" s="9" t="str">
        <f t="shared" si="2"/>
        <v>RAFAEL BALIEIRO(LTVL)</v>
      </c>
      <c r="P17" s="9" t="str">
        <f t="shared" si="3"/>
        <v/>
      </c>
      <c r="Q17" s="9" t="str">
        <f t="shared" si="4"/>
        <v/>
      </c>
      <c r="R17" s="9" t="str">
        <f t="shared" si="5"/>
        <v>GUANABARA(LTVL)</v>
      </c>
      <c r="S17" s="9" t="str">
        <f t="shared" si="6"/>
        <v>RAFAEL BALIEIRO(LTVL)</v>
      </c>
      <c r="T17" s="9">
        <f t="shared" si="7"/>
        <v>2</v>
      </c>
      <c r="U17" s="9" t="str">
        <f t="shared" si="8"/>
        <v>GUANABARA(LTVL)</v>
      </c>
      <c r="V17" s="9">
        <f t="shared" si="9"/>
        <v>0</v>
      </c>
      <c r="W17" s="9">
        <f t="shared" si="10"/>
        <v>2</v>
      </c>
    </row>
    <row r="18" spans="1:23" x14ac:dyDescent="0.2">
      <c r="A18" s="8">
        <v>27</v>
      </c>
      <c r="B18" s="9" t="str">
        <f>VLOOKUP($A18, Equipes!$A$3:$B$42, 2, FALSE)</f>
        <v>DJ IURY(BF)</v>
      </c>
      <c r="C18" s="18">
        <v>2</v>
      </c>
      <c r="D18" s="10" t="s">
        <v>22</v>
      </c>
      <c r="E18" s="18">
        <v>3</v>
      </c>
      <c r="F18" s="11" t="str">
        <f>VLOOKUP($G18, Equipes!$A$3:$B$42, 2, FALSE)</f>
        <v>GALDEANO(SCCP)</v>
      </c>
      <c r="G18" s="8">
        <v>31</v>
      </c>
      <c r="H18" s="9">
        <v>13</v>
      </c>
      <c r="I18" s="9" t="s">
        <v>17</v>
      </c>
      <c r="J18" s="9">
        <v>1</v>
      </c>
      <c r="M18" s="9" t="str">
        <f t="shared" si="0"/>
        <v>DJ IURY(BF)</v>
      </c>
      <c r="N18" s="9" t="str">
        <f t="shared" si="1"/>
        <v>GALDEANO(SCCP)</v>
      </c>
      <c r="O18" s="9" t="str">
        <f t="shared" si="2"/>
        <v>GALDEANO(SCCP)</v>
      </c>
      <c r="P18" s="9" t="str">
        <f t="shared" si="3"/>
        <v/>
      </c>
      <c r="Q18" s="9" t="str">
        <f t="shared" si="4"/>
        <v/>
      </c>
      <c r="R18" s="9" t="str">
        <f t="shared" si="5"/>
        <v>DJ IURY(BF)</v>
      </c>
      <c r="S18" s="9" t="str">
        <f t="shared" si="6"/>
        <v>DJ IURY(BF)</v>
      </c>
      <c r="T18" s="9">
        <f t="shared" si="7"/>
        <v>2</v>
      </c>
      <c r="U18" s="9" t="str">
        <f t="shared" si="8"/>
        <v>GALDEANO(SCCP)</v>
      </c>
      <c r="V18" s="9">
        <f t="shared" si="9"/>
        <v>3</v>
      </c>
      <c r="W18" s="9">
        <f t="shared" si="10"/>
        <v>2</v>
      </c>
    </row>
    <row r="19" spans="1:23" x14ac:dyDescent="0.2">
      <c r="A19" s="8">
        <v>28</v>
      </c>
      <c r="B19" s="19" t="str">
        <f>VLOOKUP($A19, Equipes!$A$3:$B$42, 2, FALSE)</f>
        <v>CHARLEAUX(CEPE)</v>
      </c>
      <c r="C19" s="18">
        <v>2</v>
      </c>
      <c r="D19" s="20" t="s">
        <v>22</v>
      </c>
      <c r="E19" s="18">
        <v>3</v>
      </c>
      <c r="F19" s="21" t="str">
        <f>VLOOKUP($G19, Equipes!$A$3:$B$42, 2, FALSE)</f>
        <v>BERGAMINI(MZ)</v>
      </c>
      <c r="G19" s="22">
        <v>32</v>
      </c>
      <c r="H19" s="19">
        <v>14</v>
      </c>
      <c r="I19" s="19" t="s">
        <v>17</v>
      </c>
      <c r="J19" s="19">
        <v>1</v>
      </c>
      <c r="K19" s="19"/>
      <c r="M19" s="9" t="str">
        <f t="shared" si="0"/>
        <v>CHARLEAUX(CEPE)</v>
      </c>
      <c r="N19" s="9" t="str">
        <f t="shared" si="1"/>
        <v>BERGAMINI(MZ)</v>
      </c>
      <c r="O19" s="9" t="str">
        <f t="shared" si="2"/>
        <v>BERGAMINI(MZ)</v>
      </c>
      <c r="P19" s="9" t="str">
        <f t="shared" si="3"/>
        <v/>
      </c>
      <c r="Q19" s="9" t="str">
        <f t="shared" si="4"/>
        <v/>
      </c>
      <c r="R19" s="9" t="str">
        <f t="shared" si="5"/>
        <v>CHARLEAUX(CEPE)</v>
      </c>
      <c r="S19" s="9" t="str">
        <f t="shared" si="6"/>
        <v>CHARLEAUX(CEPE)</v>
      </c>
      <c r="T19" s="9">
        <f t="shared" si="7"/>
        <v>2</v>
      </c>
      <c r="U19" s="9" t="str">
        <f t="shared" si="8"/>
        <v>BERGAMINI(MZ)</v>
      </c>
      <c r="V19" s="9">
        <f t="shared" si="9"/>
        <v>3</v>
      </c>
      <c r="W19" s="9">
        <f t="shared" si="10"/>
        <v>2</v>
      </c>
    </row>
    <row r="20" spans="1:23" x14ac:dyDescent="0.2">
      <c r="A20" s="8">
        <v>33</v>
      </c>
      <c r="B20" s="9" t="str">
        <f>VLOOKUP($A20, Equipes!$A$3:$B$42, 2, FALSE)</f>
        <v>LÉO CARIOCA(MZ)</v>
      </c>
      <c r="C20" s="18">
        <v>2</v>
      </c>
      <c r="D20" s="10" t="s">
        <v>22</v>
      </c>
      <c r="E20" s="18">
        <v>1</v>
      </c>
      <c r="F20" s="11" t="str">
        <f>VLOOKUP($G20, Equipes!$A$3:$B$42, 2, FALSE)</f>
        <v>BRAGHETTO(MZ)</v>
      </c>
      <c r="G20" s="8">
        <v>37</v>
      </c>
      <c r="H20" s="9">
        <v>9</v>
      </c>
      <c r="I20" s="9" t="s">
        <v>16</v>
      </c>
      <c r="J20" s="9">
        <v>1</v>
      </c>
      <c r="M20" s="9" t="str">
        <f t="shared" si="0"/>
        <v>LÉO CARIOCA(MZ)</v>
      </c>
      <c r="N20" s="9" t="str">
        <f t="shared" si="1"/>
        <v>BRAGHETTO(MZ)</v>
      </c>
      <c r="O20" s="9" t="str">
        <f t="shared" si="2"/>
        <v>LÉO CARIOCA(MZ)</v>
      </c>
      <c r="P20" s="9" t="str">
        <f t="shared" si="3"/>
        <v/>
      </c>
      <c r="Q20" s="9" t="str">
        <f t="shared" si="4"/>
        <v/>
      </c>
      <c r="R20" s="9" t="str">
        <f t="shared" si="5"/>
        <v>BRAGHETTO(MZ)</v>
      </c>
      <c r="S20" s="9" t="str">
        <f t="shared" si="6"/>
        <v>LÉO CARIOCA(MZ)</v>
      </c>
      <c r="T20" s="9">
        <f t="shared" si="7"/>
        <v>2</v>
      </c>
      <c r="U20" s="9" t="str">
        <f t="shared" si="8"/>
        <v>BRAGHETTO(MZ)</v>
      </c>
      <c r="V20" s="9">
        <f t="shared" si="9"/>
        <v>1</v>
      </c>
      <c r="W20" s="9">
        <f t="shared" si="10"/>
        <v>2</v>
      </c>
    </row>
    <row r="21" spans="1:23" x14ac:dyDescent="0.2">
      <c r="A21" s="8">
        <v>34</v>
      </c>
      <c r="B21" s="19" t="str">
        <f>VLOOKUP($A21, Equipes!$A$3:$B$42, 2, FALSE)</f>
        <v>ZÉ LUIZ(SPFC)</v>
      </c>
      <c r="C21" s="18">
        <v>2</v>
      </c>
      <c r="D21" s="20" t="s">
        <v>22</v>
      </c>
      <c r="E21" s="18">
        <v>2</v>
      </c>
      <c r="F21" s="21" t="str">
        <f>VLOOKUP($G21, Equipes!$A$3:$B$42, 2, FALSE)</f>
        <v>PAULO ROBERTO(SPFC)</v>
      </c>
      <c r="G21" s="22">
        <v>38</v>
      </c>
      <c r="H21" s="19">
        <v>1</v>
      </c>
      <c r="I21" s="19" t="s">
        <v>16</v>
      </c>
      <c r="J21" s="19">
        <v>1</v>
      </c>
      <c r="K21" s="19"/>
      <c r="M21" s="9" t="str">
        <f t="shared" si="0"/>
        <v>ZÉ LUIZ(SPFC)</v>
      </c>
      <c r="N21" s="9" t="str">
        <f t="shared" si="1"/>
        <v>PAULO ROBERTO(SPFC)</v>
      </c>
      <c r="O21" s="9" t="str">
        <f t="shared" si="2"/>
        <v/>
      </c>
      <c r="P21" s="9" t="str">
        <f t="shared" si="3"/>
        <v>ZÉ LUIZ(SPFC)</v>
      </c>
      <c r="Q21" s="9" t="str">
        <f t="shared" si="4"/>
        <v>PAULO ROBERTO(SPFC)</v>
      </c>
      <c r="R21" s="9" t="str">
        <f t="shared" si="5"/>
        <v/>
      </c>
      <c r="S21" s="9" t="str">
        <f t="shared" si="6"/>
        <v>ZÉ LUIZ(SPFC)</v>
      </c>
      <c r="T21" s="9">
        <f t="shared" si="7"/>
        <v>2</v>
      </c>
      <c r="U21" s="9" t="str">
        <f t="shared" si="8"/>
        <v>PAULO ROBERTO(SPFC)</v>
      </c>
      <c r="V21" s="9">
        <f t="shared" si="9"/>
        <v>2</v>
      </c>
      <c r="W21" s="9">
        <f t="shared" si="10"/>
        <v>2</v>
      </c>
    </row>
    <row r="22" spans="1:23" x14ac:dyDescent="0.2">
      <c r="A22" s="8">
        <v>35</v>
      </c>
      <c r="B22" s="9" t="str">
        <f>VLOOKUP($A22, Equipes!$A$3:$B$42, 2, FALSE)</f>
        <v>TUPINAMBÁ(LTVL)</v>
      </c>
      <c r="C22" s="18">
        <v>1</v>
      </c>
      <c r="D22" s="10" t="s">
        <v>22</v>
      </c>
      <c r="E22" s="18">
        <v>2</v>
      </c>
      <c r="F22" s="11" t="str">
        <f>VLOOKUP($G22, Equipes!$A$3:$B$42, 2, FALSE)</f>
        <v>RODRIGO MORO(SCCP)</v>
      </c>
      <c r="G22" s="8">
        <v>39</v>
      </c>
      <c r="H22" s="9">
        <v>15</v>
      </c>
      <c r="I22" s="9" t="s">
        <v>16</v>
      </c>
      <c r="J22" s="9">
        <v>1</v>
      </c>
      <c r="M22" s="9" t="str">
        <f t="shared" si="0"/>
        <v>TUPINAMBÁ(LTVL)</v>
      </c>
      <c r="N22" s="9" t="str">
        <f t="shared" si="1"/>
        <v>RODRIGO MORO(SCCP)</v>
      </c>
      <c r="O22" s="9" t="str">
        <f t="shared" si="2"/>
        <v>RODRIGO MORO(SCCP)</v>
      </c>
      <c r="P22" s="9" t="str">
        <f t="shared" si="3"/>
        <v/>
      </c>
      <c r="Q22" s="9" t="str">
        <f t="shared" si="4"/>
        <v/>
      </c>
      <c r="R22" s="9" t="str">
        <f t="shared" si="5"/>
        <v>TUPINAMBÁ(LTVL)</v>
      </c>
      <c r="S22" s="9" t="str">
        <f t="shared" si="6"/>
        <v>TUPINAMBÁ(LTVL)</v>
      </c>
      <c r="T22" s="9">
        <f t="shared" si="7"/>
        <v>1</v>
      </c>
      <c r="U22" s="9" t="str">
        <f t="shared" si="8"/>
        <v>RODRIGO MORO(SCCP)</v>
      </c>
      <c r="V22" s="9">
        <f t="shared" si="9"/>
        <v>2</v>
      </c>
      <c r="W22" s="9">
        <f t="shared" si="10"/>
        <v>1</v>
      </c>
    </row>
    <row r="23" spans="1:23" x14ac:dyDescent="0.2">
      <c r="A23" s="8">
        <v>36</v>
      </c>
      <c r="B23" s="19" t="str">
        <f>VLOOKUP($A23, Equipes!$A$3:$B$42, 2, FALSE)</f>
        <v>RICARDO RAMALHO(BF)</v>
      </c>
      <c r="C23" s="18">
        <v>0</v>
      </c>
      <c r="D23" s="20" t="s">
        <v>22</v>
      </c>
      <c r="E23" s="18">
        <v>1</v>
      </c>
      <c r="F23" s="21" t="str">
        <f>VLOOKUP($G23, Equipes!$A$3:$B$42, 2, FALSE)</f>
        <v>PEPE 2004(CEPE)</v>
      </c>
      <c r="G23" s="22">
        <v>40</v>
      </c>
      <c r="H23" s="19">
        <v>8</v>
      </c>
      <c r="I23" s="19" t="s">
        <v>16</v>
      </c>
      <c r="J23" s="19">
        <v>1</v>
      </c>
      <c r="K23" s="19"/>
      <c r="M23" s="9" t="str">
        <f t="shared" si="0"/>
        <v>RICARDO RAMALHO(BF)</v>
      </c>
      <c r="N23" s="9" t="str">
        <f t="shared" si="1"/>
        <v>PEPE 2004(CEPE)</v>
      </c>
      <c r="O23" s="9" t="str">
        <f t="shared" si="2"/>
        <v>PEPE 2004(CEPE)</v>
      </c>
      <c r="P23" s="9" t="str">
        <f t="shared" si="3"/>
        <v/>
      </c>
      <c r="Q23" s="9" t="str">
        <f t="shared" si="4"/>
        <v/>
      </c>
      <c r="R23" s="9" t="str">
        <f t="shared" si="5"/>
        <v>RICARDO RAMALHO(BF)</v>
      </c>
      <c r="S23" s="9" t="str">
        <f t="shared" si="6"/>
        <v>RICARDO RAMALHO(BF)</v>
      </c>
      <c r="T23" s="9">
        <f t="shared" si="7"/>
        <v>0</v>
      </c>
      <c r="U23" s="9" t="str">
        <f t="shared" si="8"/>
        <v>PEPE 2004(CEPE)</v>
      </c>
      <c r="V23" s="9">
        <f t="shared" si="9"/>
        <v>1</v>
      </c>
      <c r="W23" s="9">
        <f t="shared" si="10"/>
        <v>0</v>
      </c>
    </row>
    <row r="24" spans="1:23" x14ac:dyDescent="0.2">
      <c r="B24" s="13" t="s">
        <v>26</v>
      </c>
      <c r="C24" s="14"/>
      <c r="D24" s="14"/>
      <c r="E24" s="14"/>
      <c r="F24" s="15"/>
      <c r="G24" s="16"/>
      <c r="H24" s="13" t="s">
        <v>11</v>
      </c>
      <c r="I24" s="13" t="s">
        <v>12</v>
      </c>
      <c r="J24" s="13" t="s">
        <v>13</v>
      </c>
      <c r="K24" s="17">
        <f>K3 + TIME(0,20,0)</f>
        <v>45340.527777777781</v>
      </c>
      <c r="M24" s="12" t="s">
        <v>14</v>
      </c>
      <c r="N24" s="12" t="s">
        <v>14</v>
      </c>
      <c r="O24" s="12" t="s">
        <v>15</v>
      </c>
      <c r="P24" s="12" t="s">
        <v>16</v>
      </c>
      <c r="Q24" s="12" t="s">
        <v>16</v>
      </c>
      <c r="R24" s="12" t="s">
        <v>17</v>
      </c>
      <c r="S24" s="12" t="s">
        <v>18</v>
      </c>
      <c r="T24" s="12" t="s">
        <v>19</v>
      </c>
      <c r="U24" s="12" t="s">
        <v>15</v>
      </c>
      <c r="V24" s="12" t="s">
        <v>20</v>
      </c>
      <c r="W24" s="12" t="s">
        <v>21</v>
      </c>
    </row>
    <row r="25" spans="1:23" x14ac:dyDescent="0.2">
      <c r="A25" s="8">
        <v>1</v>
      </c>
      <c r="B25" s="19" t="str">
        <f>VLOOKUP($A25, Equipes!$A$3:$B$42, 2, FALSE)</f>
        <v>RUAS(CEPE)</v>
      </c>
      <c r="C25" s="18">
        <v>2</v>
      </c>
      <c r="D25" s="20" t="s">
        <v>22</v>
      </c>
      <c r="E25" s="18">
        <v>0</v>
      </c>
      <c r="F25" s="21" t="str">
        <f>VLOOKUP($G25, Equipes!$A$3:$B$42, 2, FALSE)</f>
        <v>COELHO(SCCP)</v>
      </c>
      <c r="G25" s="22">
        <v>6</v>
      </c>
      <c r="H25" s="19">
        <v>9</v>
      </c>
      <c r="I25" s="19" t="s">
        <v>23</v>
      </c>
      <c r="J25" s="19">
        <v>2</v>
      </c>
      <c r="K25" s="19"/>
      <c r="M25" s="9" t="str">
        <f t="shared" ref="M25:M44" si="11">IF(OR(C25 = "",E25 = ""), "", B25)</f>
        <v>RUAS(CEPE)</v>
      </c>
      <c r="N25" s="9" t="str">
        <f t="shared" ref="N25:N44" si="12">IF(OR(C25 = "",E25 = ""), "", F25)</f>
        <v>COELHO(SCCP)</v>
      </c>
      <c r="O25" s="9" t="str">
        <f t="shared" ref="O25:O44" si="13">IF(C25&gt;E25,B25, IF(E25&gt;C25,F25, ""))</f>
        <v>RUAS(CEPE)</v>
      </c>
      <c r="P25" s="9" t="str">
        <f t="shared" ref="P25:P44" si="14">IF(OR(C25 = "",E25 = ""), "", IF(C25=E25,B25, ""))</f>
        <v/>
      </c>
      <c r="Q25" s="9" t="str">
        <f t="shared" ref="Q25:Q44" si="15">IF(OR(C25 = "",E25 = ""), "", IF(C25=E25,F25, ""))</f>
        <v/>
      </c>
      <c r="R25" s="9" t="str">
        <f t="shared" ref="R25:R44" si="16">IF(C25&gt;E25,F25, IF(E25&gt;C25,B25, ""))</f>
        <v>COELHO(SCCP)</v>
      </c>
      <c r="S25" s="9" t="str">
        <f t="shared" ref="S25:S44" si="17">IF(OR(C25 = "",E25 = ""), "", B25)</f>
        <v>RUAS(CEPE)</v>
      </c>
      <c r="T25" s="9">
        <f t="shared" ref="T25:T44" si="18">IF(C25 = "", "", C25)</f>
        <v>2</v>
      </c>
      <c r="U25" s="9" t="str">
        <f t="shared" ref="U25:U44" si="19">IF(OR(C25 = "",E25 = ""), "", F25)</f>
        <v>COELHO(SCCP)</v>
      </c>
      <c r="V25" s="9">
        <f t="shared" ref="V25:V44" si="20">IF(E25 = "", "", E25)</f>
        <v>0</v>
      </c>
      <c r="W25" s="9">
        <f t="shared" ref="W25:W44" si="21">IF(C25 = "", "", C25)</f>
        <v>2</v>
      </c>
    </row>
    <row r="26" spans="1:23" x14ac:dyDescent="0.2">
      <c r="A26" s="8">
        <v>5</v>
      </c>
      <c r="B26" s="9" t="str">
        <f>VLOOKUP($A26, Equipes!$A$3:$B$42, 2, FALSE)</f>
        <v>CLÉO JR (CEPE)</v>
      </c>
      <c r="C26" s="18">
        <v>1</v>
      </c>
      <c r="D26" s="10" t="s">
        <v>22</v>
      </c>
      <c r="E26" s="18">
        <v>1</v>
      </c>
      <c r="F26" s="11" t="str">
        <f>VLOOKUP($G26, Equipes!$A$3:$B$42, 2, FALSE)</f>
        <v>AURÉLIO(BF)</v>
      </c>
      <c r="G26" s="8">
        <v>7</v>
      </c>
      <c r="H26" s="9">
        <v>1</v>
      </c>
      <c r="I26" s="9" t="s">
        <v>23</v>
      </c>
      <c r="J26" s="9">
        <v>2</v>
      </c>
      <c r="M26" s="9" t="str">
        <f t="shared" si="11"/>
        <v>CLÉO JR (CEPE)</v>
      </c>
      <c r="N26" s="9" t="str">
        <f t="shared" si="12"/>
        <v>AURÉLIO(BF)</v>
      </c>
      <c r="O26" s="9" t="str">
        <f t="shared" si="13"/>
        <v/>
      </c>
      <c r="P26" s="9" t="str">
        <f t="shared" si="14"/>
        <v>CLÉO JR (CEPE)</v>
      </c>
      <c r="Q26" s="9" t="str">
        <f t="shared" si="15"/>
        <v>AURÉLIO(BF)</v>
      </c>
      <c r="R26" s="9" t="str">
        <f t="shared" si="16"/>
        <v/>
      </c>
      <c r="S26" s="9" t="str">
        <f t="shared" si="17"/>
        <v>CLÉO JR (CEPE)</v>
      </c>
      <c r="T26" s="9">
        <f t="shared" si="18"/>
        <v>1</v>
      </c>
      <c r="U26" s="9" t="str">
        <f t="shared" si="19"/>
        <v>AURÉLIO(BF)</v>
      </c>
      <c r="V26" s="9">
        <f t="shared" si="20"/>
        <v>1</v>
      </c>
      <c r="W26" s="9">
        <f t="shared" si="21"/>
        <v>1</v>
      </c>
    </row>
    <row r="27" spans="1:23" x14ac:dyDescent="0.2">
      <c r="A27" s="8">
        <v>2</v>
      </c>
      <c r="B27" s="19" t="str">
        <f>VLOOKUP($A27, Equipes!$A$3:$B$42, 2, FALSE)</f>
        <v>MARCOS WILLOW(SCCP)</v>
      </c>
      <c r="C27" s="18">
        <v>3</v>
      </c>
      <c r="D27" s="20" t="s">
        <v>22</v>
      </c>
      <c r="E27" s="18">
        <v>2</v>
      </c>
      <c r="F27" s="21" t="str">
        <f>VLOOKUP($G27, Equipes!$A$3:$B$42, 2, FALSE)</f>
        <v>CORTEZ(MZ)</v>
      </c>
      <c r="G27" s="22">
        <v>8</v>
      </c>
      <c r="H27" s="19">
        <v>4</v>
      </c>
      <c r="I27" s="19" t="s">
        <v>23</v>
      </c>
      <c r="J27" s="19">
        <v>2</v>
      </c>
      <c r="K27" s="19"/>
      <c r="M27" s="9" t="str">
        <f t="shared" si="11"/>
        <v>MARCOS WILLOW(SCCP)</v>
      </c>
      <c r="N27" s="9" t="str">
        <f t="shared" si="12"/>
        <v>CORTEZ(MZ)</v>
      </c>
      <c r="O27" s="9" t="str">
        <f t="shared" si="13"/>
        <v>MARCOS WILLOW(SCCP)</v>
      </c>
      <c r="P27" s="9" t="str">
        <f t="shared" si="14"/>
        <v/>
      </c>
      <c r="Q27" s="9" t="str">
        <f t="shared" si="15"/>
        <v/>
      </c>
      <c r="R27" s="9" t="str">
        <f t="shared" si="16"/>
        <v>CORTEZ(MZ)</v>
      </c>
      <c r="S27" s="9" t="str">
        <f t="shared" si="17"/>
        <v>MARCOS WILLOW(SCCP)</v>
      </c>
      <c r="T27" s="9">
        <f t="shared" si="18"/>
        <v>3</v>
      </c>
      <c r="U27" s="9" t="str">
        <f t="shared" si="19"/>
        <v>CORTEZ(MZ)</v>
      </c>
      <c r="V27" s="9">
        <f t="shared" si="20"/>
        <v>2</v>
      </c>
      <c r="W27" s="9">
        <f t="shared" si="21"/>
        <v>3</v>
      </c>
    </row>
    <row r="28" spans="1:23" x14ac:dyDescent="0.2">
      <c r="A28" s="8">
        <v>3</v>
      </c>
      <c r="B28" s="9" t="str">
        <f>VLOOKUP($A28, Equipes!$A$3:$B$42, 2, FALSE)</f>
        <v>SALLYS(SPFC)</v>
      </c>
      <c r="C28" s="18">
        <v>0</v>
      </c>
      <c r="D28" s="10" t="s">
        <v>22</v>
      </c>
      <c r="E28" s="18">
        <v>2</v>
      </c>
      <c r="F28" s="11" t="str">
        <f>VLOOKUP($G28, Equipes!$A$3:$B$42, 2, FALSE)</f>
        <v>PROFESSOR(LTVL)</v>
      </c>
      <c r="G28" s="8">
        <v>4</v>
      </c>
      <c r="H28" s="9">
        <v>18</v>
      </c>
      <c r="I28" s="9" t="s">
        <v>23</v>
      </c>
      <c r="J28" s="9">
        <v>2</v>
      </c>
      <c r="M28" s="9" t="str">
        <f t="shared" si="11"/>
        <v>SALLYS(SPFC)</v>
      </c>
      <c r="N28" s="9" t="str">
        <f t="shared" si="12"/>
        <v>PROFESSOR(LTVL)</v>
      </c>
      <c r="O28" s="9" t="str">
        <f t="shared" si="13"/>
        <v>PROFESSOR(LTVL)</v>
      </c>
      <c r="P28" s="9" t="str">
        <f t="shared" si="14"/>
        <v/>
      </c>
      <c r="Q28" s="9" t="str">
        <f t="shared" si="15"/>
        <v/>
      </c>
      <c r="R28" s="9" t="str">
        <f t="shared" si="16"/>
        <v>SALLYS(SPFC)</v>
      </c>
      <c r="S28" s="9" t="str">
        <f t="shared" si="17"/>
        <v>SALLYS(SPFC)</v>
      </c>
      <c r="T28" s="9">
        <f t="shared" si="18"/>
        <v>0</v>
      </c>
      <c r="U28" s="9" t="str">
        <f t="shared" si="19"/>
        <v>PROFESSOR(LTVL)</v>
      </c>
      <c r="V28" s="9">
        <f t="shared" si="20"/>
        <v>2</v>
      </c>
      <c r="W28" s="9">
        <f t="shared" si="21"/>
        <v>0</v>
      </c>
    </row>
    <row r="29" spans="1:23" x14ac:dyDescent="0.2">
      <c r="A29" s="8">
        <v>9</v>
      </c>
      <c r="B29" s="19" t="str">
        <f>VLOOKUP($A29, Equipes!$A$3:$B$42, 2, FALSE)</f>
        <v>TABAJARA(CEPE)</v>
      </c>
      <c r="C29" s="18">
        <v>1</v>
      </c>
      <c r="D29" s="20" t="s">
        <v>22</v>
      </c>
      <c r="E29" s="18">
        <v>1</v>
      </c>
      <c r="F29" s="21" t="str">
        <f>VLOOKUP($G29, Equipes!$A$3:$B$42, 2, FALSE)</f>
        <v>VINICIUS ROLIM(SCCP)</v>
      </c>
      <c r="G29" s="22">
        <v>14</v>
      </c>
      <c r="H29" s="19">
        <v>3</v>
      </c>
      <c r="I29" s="19" t="s">
        <v>24</v>
      </c>
      <c r="J29" s="19">
        <v>2</v>
      </c>
      <c r="K29" s="19"/>
      <c r="M29" s="9" t="str">
        <f t="shared" si="11"/>
        <v>TABAJARA(CEPE)</v>
      </c>
      <c r="N29" s="9" t="str">
        <f t="shared" si="12"/>
        <v>VINICIUS ROLIM(SCCP)</v>
      </c>
      <c r="O29" s="9" t="str">
        <f t="shared" si="13"/>
        <v/>
      </c>
      <c r="P29" s="9" t="str">
        <f t="shared" si="14"/>
        <v>TABAJARA(CEPE)</v>
      </c>
      <c r="Q29" s="9" t="str">
        <f t="shared" si="15"/>
        <v>VINICIUS ROLIM(SCCP)</v>
      </c>
      <c r="R29" s="9" t="str">
        <f t="shared" si="16"/>
        <v/>
      </c>
      <c r="S29" s="9" t="str">
        <f t="shared" si="17"/>
        <v>TABAJARA(CEPE)</v>
      </c>
      <c r="T29" s="9">
        <f t="shared" si="18"/>
        <v>1</v>
      </c>
      <c r="U29" s="9" t="str">
        <f t="shared" si="19"/>
        <v>VINICIUS ROLIM(SCCP)</v>
      </c>
      <c r="V29" s="9">
        <f t="shared" si="20"/>
        <v>1</v>
      </c>
      <c r="W29" s="9">
        <f t="shared" si="21"/>
        <v>1</v>
      </c>
    </row>
    <row r="30" spans="1:23" x14ac:dyDescent="0.2">
      <c r="A30" s="8">
        <v>13</v>
      </c>
      <c r="B30" s="9" t="str">
        <f>VLOOKUP($A30, Equipes!$A$3:$B$42, 2, FALSE)</f>
        <v>DIOGO(CEPE)</v>
      </c>
      <c r="C30" s="18">
        <v>1</v>
      </c>
      <c r="D30" s="10" t="s">
        <v>22</v>
      </c>
      <c r="E30" s="18">
        <v>2</v>
      </c>
      <c r="F30" s="11" t="str">
        <f>VLOOKUP($G30, Equipes!$A$3:$B$42, 2, FALSE)</f>
        <v>AUGUSTO(BF)</v>
      </c>
      <c r="G30" s="8">
        <v>15</v>
      </c>
      <c r="H30" s="9">
        <v>5</v>
      </c>
      <c r="I30" s="9" t="s">
        <v>24</v>
      </c>
      <c r="J30" s="9">
        <v>2</v>
      </c>
      <c r="M30" s="9" t="str">
        <f t="shared" si="11"/>
        <v>DIOGO(CEPE)</v>
      </c>
      <c r="N30" s="9" t="str">
        <f t="shared" si="12"/>
        <v>AUGUSTO(BF)</v>
      </c>
      <c r="O30" s="9" t="str">
        <f t="shared" si="13"/>
        <v>AUGUSTO(BF)</v>
      </c>
      <c r="P30" s="9" t="str">
        <f t="shared" si="14"/>
        <v/>
      </c>
      <c r="Q30" s="9" t="str">
        <f t="shared" si="15"/>
        <v/>
      </c>
      <c r="R30" s="9" t="str">
        <f t="shared" si="16"/>
        <v>DIOGO(CEPE)</v>
      </c>
      <c r="S30" s="9" t="str">
        <f t="shared" si="17"/>
        <v>DIOGO(CEPE)</v>
      </c>
      <c r="T30" s="9">
        <f t="shared" si="18"/>
        <v>1</v>
      </c>
      <c r="U30" s="9" t="str">
        <f t="shared" si="19"/>
        <v>AUGUSTO(BF)</v>
      </c>
      <c r="V30" s="9">
        <f t="shared" si="20"/>
        <v>2</v>
      </c>
      <c r="W30" s="9">
        <f t="shared" si="21"/>
        <v>1</v>
      </c>
    </row>
    <row r="31" spans="1:23" x14ac:dyDescent="0.2">
      <c r="A31" s="8">
        <v>10</v>
      </c>
      <c r="B31" s="19" t="str">
        <f>VLOOKUP($A31, Equipes!$A$3:$B$42, 2, FALSE)</f>
        <v>REGINALDO(SCCP)</v>
      </c>
      <c r="C31" s="18">
        <v>1</v>
      </c>
      <c r="D31" s="20" t="s">
        <v>22</v>
      </c>
      <c r="E31" s="18">
        <v>1</v>
      </c>
      <c r="F31" s="21" t="str">
        <f>VLOOKUP($G31, Equipes!$A$3:$B$42, 2, FALSE)</f>
        <v>LUIZ COELHO(MZ)</v>
      </c>
      <c r="G31" s="22">
        <v>16</v>
      </c>
      <c r="H31" s="19">
        <v>11</v>
      </c>
      <c r="I31" s="19" t="s">
        <v>24</v>
      </c>
      <c r="J31" s="19">
        <v>2</v>
      </c>
      <c r="K31" s="19"/>
      <c r="M31" s="9" t="str">
        <f t="shared" si="11"/>
        <v>REGINALDO(SCCP)</v>
      </c>
      <c r="N31" s="9" t="str">
        <f t="shared" si="12"/>
        <v>LUIZ COELHO(MZ)</v>
      </c>
      <c r="O31" s="9" t="str">
        <f t="shared" si="13"/>
        <v/>
      </c>
      <c r="P31" s="9" t="str">
        <f t="shared" si="14"/>
        <v>REGINALDO(SCCP)</v>
      </c>
      <c r="Q31" s="9" t="str">
        <f t="shared" si="15"/>
        <v>LUIZ COELHO(MZ)</v>
      </c>
      <c r="R31" s="9" t="str">
        <f t="shared" si="16"/>
        <v/>
      </c>
      <c r="S31" s="9" t="str">
        <f t="shared" si="17"/>
        <v>REGINALDO(SCCP)</v>
      </c>
      <c r="T31" s="9">
        <f t="shared" si="18"/>
        <v>1</v>
      </c>
      <c r="U31" s="9" t="str">
        <f t="shared" si="19"/>
        <v>LUIZ COELHO(MZ)</v>
      </c>
      <c r="V31" s="9">
        <f t="shared" si="20"/>
        <v>1</v>
      </c>
      <c r="W31" s="9">
        <f t="shared" si="21"/>
        <v>1</v>
      </c>
    </row>
    <row r="32" spans="1:23" x14ac:dyDescent="0.2">
      <c r="A32" s="8">
        <v>11</v>
      </c>
      <c r="B32" s="9" t="str">
        <f>VLOOKUP($A32, Equipes!$A$3:$B$42, 2, FALSE)</f>
        <v>ELSIO(SPFC)</v>
      </c>
      <c r="C32" s="18">
        <v>0</v>
      </c>
      <c r="D32" s="10" t="s">
        <v>22</v>
      </c>
      <c r="E32" s="18">
        <v>2</v>
      </c>
      <c r="F32" s="11" t="str">
        <f>VLOOKUP($G32, Equipes!$A$3:$B$42, 2, FALSE)</f>
        <v>MARIELCIO(LTVL)</v>
      </c>
      <c r="G32" s="8">
        <v>12</v>
      </c>
      <c r="H32" s="9">
        <v>12</v>
      </c>
      <c r="I32" s="9" t="s">
        <v>24</v>
      </c>
      <c r="J32" s="9">
        <v>2</v>
      </c>
      <c r="M32" s="9" t="str">
        <f t="shared" si="11"/>
        <v>ELSIO(SPFC)</v>
      </c>
      <c r="N32" s="9" t="str">
        <f t="shared" si="12"/>
        <v>MARIELCIO(LTVL)</v>
      </c>
      <c r="O32" s="9" t="str">
        <f t="shared" si="13"/>
        <v>MARIELCIO(LTVL)</v>
      </c>
      <c r="P32" s="9" t="str">
        <f t="shared" si="14"/>
        <v/>
      </c>
      <c r="Q32" s="9" t="str">
        <f t="shared" si="15"/>
        <v/>
      </c>
      <c r="R32" s="9" t="str">
        <f t="shared" si="16"/>
        <v>ELSIO(SPFC)</v>
      </c>
      <c r="S32" s="9" t="str">
        <f t="shared" si="17"/>
        <v>ELSIO(SPFC)</v>
      </c>
      <c r="T32" s="9">
        <f t="shared" si="18"/>
        <v>0</v>
      </c>
      <c r="U32" s="9" t="str">
        <f t="shared" si="19"/>
        <v>MARIELCIO(LTVL)</v>
      </c>
      <c r="V32" s="9">
        <f t="shared" si="20"/>
        <v>2</v>
      </c>
      <c r="W32" s="9">
        <f t="shared" si="21"/>
        <v>0</v>
      </c>
    </row>
    <row r="33" spans="1:23" x14ac:dyDescent="0.2">
      <c r="A33" s="8">
        <v>17</v>
      </c>
      <c r="B33" s="19" t="str">
        <f>VLOOKUP($A33, Equipes!$A$3:$B$42, 2, FALSE)</f>
        <v>AFONSO(CEPE)</v>
      </c>
      <c r="C33" s="18">
        <v>1</v>
      </c>
      <c r="D33" s="20" t="s">
        <v>22</v>
      </c>
      <c r="E33" s="18">
        <v>0</v>
      </c>
      <c r="F33" s="21" t="str">
        <f>VLOOKUP($G33, Equipes!$A$3:$B$42, 2, FALSE)</f>
        <v>ELCIO(LTVL)</v>
      </c>
      <c r="G33" s="22">
        <v>22</v>
      </c>
      <c r="H33" s="19">
        <v>13</v>
      </c>
      <c r="I33" s="19" t="s">
        <v>25</v>
      </c>
      <c r="J33" s="19">
        <v>2</v>
      </c>
      <c r="K33" s="19"/>
      <c r="M33" s="9" t="str">
        <f t="shared" si="11"/>
        <v>AFONSO(CEPE)</v>
      </c>
      <c r="N33" s="9" t="str">
        <f t="shared" si="12"/>
        <v>ELCIO(LTVL)</v>
      </c>
      <c r="O33" s="9" t="str">
        <f t="shared" si="13"/>
        <v>AFONSO(CEPE)</v>
      </c>
      <c r="P33" s="9" t="str">
        <f t="shared" si="14"/>
        <v/>
      </c>
      <c r="Q33" s="9" t="str">
        <f t="shared" si="15"/>
        <v/>
      </c>
      <c r="R33" s="9" t="str">
        <f t="shared" si="16"/>
        <v>ELCIO(LTVL)</v>
      </c>
      <c r="S33" s="9" t="str">
        <f t="shared" si="17"/>
        <v>AFONSO(CEPE)</v>
      </c>
      <c r="T33" s="9">
        <f t="shared" si="18"/>
        <v>1</v>
      </c>
      <c r="U33" s="9" t="str">
        <f t="shared" si="19"/>
        <v>ELCIO(LTVL)</v>
      </c>
      <c r="V33" s="9">
        <f t="shared" si="20"/>
        <v>0</v>
      </c>
      <c r="W33" s="9">
        <f t="shared" si="21"/>
        <v>1</v>
      </c>
    </row>
    <row r="34" spans="1:23" x14ac:dyDescent="0.2">
      <c r="A34" s="8">
        <v>21</v>
      </c>
      <c r="B34" s="9" t="str">
        <f>VLOOKUP($A34, Equipes!$A$3:$B$42, 2, FALSE)</f>
        <v>FÉLIX(CEPE)</v>
      </c>
      <c r="C34" s="18">
        <v>4</v>
      </c>
      <c r="D34" s="10" t="s">
        <v>22</v>
      </c>
      <c r="E34" s="18">
        <v>2</v>
      </c>
      <c r="F34" s="11" t="str">
        <f>VLOOKUP($G34, Equipes!$A$3:$B$42, 2, FALSE)</f>
        <v>SÉRGIO BARREIRA(SCCP)</v>
      </c>
      <c r="G34" s="8">
        <v>23</v>
      </c>
      <c r="H34" s="9">
        <v>7</v>
      </c>
      <c r="I34" s="9" t="s">
        <v>25</v>
      </c>
      <c r="J34" s="9">
        <v>2</v>
      </c>
      <c r="M34" s="9" t="str">
        <f t="shared" si="11"/>
        <v>FÉLIX(CEPE)</v>
      </c>
      <c r="N34" s="9" t="str">
        <f t="shared" si="12"/>
        <v>SÉRGIO BARREIRA(SCCP)</v>
      </c>
      <c r="O34" s="9" t="str">
        <f t="shared" si="13"/>
        <v>FÉLIX(CEPE)</v>
      </c>
      <c r="P34" s="9" t="str">
        <f t="shared" si="14"/>
        <v/>
      </c>
      <c r="Q34" s="9" t="str">
        <f t="shared" si="15"/>
        <v/>
      </c>
      <c r="R34" s="9" t="str">
        <f t="shared" si="16"/>
        <v>SÉRGIO BARREIRA(SCCP)</v>
      </c>
      <c r="S34" s="9" t="str">
        <f t="shared" si="17"/>
        <v>FÉLIX(CEPE)</v>
      </c>
      <c r="T34" s="9">
        <f t="shared" si="18"/>
        <v>4</v>
      </c>
      <c r="U34" s="9" t="str">
        <f t="shared" si="19"/>
        <v>SÉRGIO BARREIRA(SCCP)</v>
      </c>
      <c r="V34" s="9">
        <f t="shared" si="20"/>
        <v>2</v>
      </c>
      <c r="W34" s="9">
        <f t="shared" si="21"/>
        <v>4</v>
      </c>
    </row>
    <row r="35" spans="1:23" x14ac:dyDescent="0.2">
      <c r="A35" s="8">
        <v>18</v>
      </c>
      <c r="B35" s="19" t="str">
        <f>VLOOKUP($A35, Equipes!$A$3:$B$42, 2, FALSE)</f>
        <v>MARIELCINHO(LTVL)</v>
      </c>
      <c r="C35" s="18">
        <v>1</v>
      </c>
      <c r="D35" s="20" t="s">
        <v>22</v>
      </c>
      <c r="E35" s="18">
        <v>2</v>
      </c>
      <c r="F35" s="21" t="str">
        <f>VLOOKUP($G35, Equipes!$A$3:$B$42, 2, FALSE)</f>
        <v>MARIO MILI(MZ)</v>
      </c>
      <c r="G35" s="22">
        <v>24</v>
      </c>
      <c r="H35" s="19">
        <v>20</v>
      </c>
      <c r="I35" s="19" t="s">
        <v>25</v>
      </c>
      <c r="J35" s="19">
        <v>2</v>
      </c>
      <c r="K35" s="19"/>
      <c r="M35" s="9" t="str">
        <f t="shared" si="11"/>
        <v>MARIELCINHO(LTVL)</v>
      </c>
      <c r="N35" s="9" t="str">
        <f t="shared" si="12"/>
        <v>MARIO MILI(MZ)</v>
      </c>
      <c r="O35" s="9" t="str">
        <f t="shared" si="13"/>
        <v>MARIO MILI(MZ)</v>
      </c>
      <c r="P35" s="9" t="str">
        <f t="shared" si="14"/>
        <v/>
      </c>
      <c r="Q35" s="9" t="str">
        <f t="shared" si="15"/>
        <v/>
      </c>
      <c r="R35" s="9" t="str">
        <f t="shared" si="16"/>
        <v>MARIELCINHO(LTVL)</v>
      </c>
      <c r="S35" s="9" t="str">
        <f t="shared" si="17"/>
        <v>MARIELCINHO(LTVL)</v>
      </c>
      <c r="T35" s="9">
        <f t="shared" si="18"/>
        <v>1</v>
      </c>
      <c r="U35" s="9" t="str">
        <f t="shared" si="19"/>
        <v>MARIO MILI(MZ)</v>
      </c>
      <c r="V35" s="9">
        <f t="shared" si="20"/>
        <v>2</v>
      </c>
      <c r="W35" s="9">
        <f t="shared" si="21"/>
        <v>1</v>
      </c>
    </row>
    <row r="36" spans="1:23" x14ac:dyDescent="0.2">
      <c r="A36" s="8">
        <v>19</v>
      </c>
      <c r="B36" s="9" t="str">
        <f>VLOOKUP($A36, Equipes!$A$3:$B$42, 2, FALSE)</f>
        <v>WAGNER(SPFC)</v>
      </c>
      <c r="C36" s="18">
        <v>1</v>
      </c>
      <c r="D36" s="10" t="s">
        <v>22</v>
      </c>
      <c r="E36" s="18">
        <v>4</v>
      </c>
      <c r="F36" s="11" t="str">
        <f>VLOOKUP($G36, Equipes!$A$3:$B$42, 2, FALSE)</f>
        <v>MARCOS MATTOS(BF)</v>
      </c>
      <c r="G36" s="8">
        <v>20</v>
      </c>
      <c r="H36" s="9">
        <v>8</v>
      </c>
      <c r="I36" s="9" t="s">
        <v>25</v>
      </c>
      <c r="J36" s="9">
        <v>2</v>
      </c>
      <c r="M36" s="9" t="str">
        <f t="shared" si="11"/>
        <v>WAGNER(SPFC)</v>
      </c>
      <c r="N36" s="9" t="str">
        <f t="shared" si="12"/>
        <v>MARCOS MATTOS(BF)</v>
      </c>
      <c r="O36" s="9" t="str">
        <f t="shared" si="13"/>
        <v>MARCOS MATTOS(BF)</v>
      </c>
      <c r="P36" s="9" t="str">
        <f t="shared" si="14"/>
        <v/>
      </c>
      <c r="Q36" s="9" t="str">
        <f t="shared" si="15"/>
        <v/>
      </c>
      <c r="R36" s="9" t="str">
        <f t="shared" si="16"/>
        <v>WAGNER(SPFC)</v>
      </c>
      <c r="S36" s="9" t="str">
        <f t="shared" si="17"/>
        <v>WAGNER(SPFC)</v>
      </c>
      <c r="T36" s="9">
        <f t="shared" si="18"/>
        <v>1</v>
      </c>
      <c r="U36" s="9" t="str">
        <f t="shared" si="19"/>
        <v>MARCOS MATTOS(BF)</v>
      </c>
      <c r="V36" s="9">
        <f t="shared" si="20"/>
        <v>4</v>
      </c>
      <c r="W36" s="9">
        <f t="shared" si="21"/>
        <v>1</v>
      </c>
    </row>
    <row r="37" spans="1:23" x14ac:dyDescent="0.2">
      <c r="A37" s="8">
        <v>25</v>
      </c>
      <c r="B37" s="19" t="str">
        <f>VLOOKUP($A37, Equipes!$A$3:$B$42, 2, FALSE)</f>
        <v>MARCÃO SILVA(SPFC)</v>
      </c>
      <c r="C37" s="18">
        <v>3</v>
      </c>
      <c r="D37" s="20" t="s">
        <v>22</v>
      </c>
      <c r="E37" s="18">
        <v>0</v>
      </c>
      <c r="F37" s="21" t="str">
        <f>VLOOKUP($G37, Equipes!$A$3:$B$42, 2, FALSE)</f>
        <v>GUANABARA(LTVL)</v>
      </c>
      <c r="G37" s="22">
        <v>30</v>
      </c>
      <c r="H37" s="19">
        <v>19</v>
      </c>
      <c r="I37" s="19" t="s">
        <v>17</v>
      </c>
      <c r="J37" s="19">
        <v>2</v>
      </c>
      <c r="K37" s="19"/>
      <c r="M37" s="9" t="str">
        <f t="shared" si="11"/>
        <v>MARCÃO SILVA(SPFC)</v>
      </c>
      <c r="N37" s="9" t="str">
        <f t="shared" si="12"/>
        <v>GUANABARA(LTVL)</v>
      </c>
      <c r="O37" s="9" t="str">
        <f t="shared" si="13"/>
        <v>MARCÃO SILVA(SPFC)</v>
      </c>
      <c r="P37" s="9" t="str">
        <f t="shared" si="14"/>
        <v/>
      </c>
      <c r="Q37" s="9" t="str">
        <f t="shared" si="15"/>
        <v/>
      </c>
      <c r="R37" s="9" t="str">
        <f t="shared" si="16"/>
        <v>GUANABARA(LTVL)</v>
      </c>
      <c r="S37" s="9" t="str">
        <f t="shared" si="17"/>
        <v>MARCÃO SILVA(SPFC)</v>
      </c>
      <c r="T37" s="9">
        <f t="shared" si="18"/>
        <v>3</v>
      </c>
      <c r="U37" s="9" t="str">
        <f t="shared" si="19"/>
        <v>GUANABARA(LTVL)</v>
      </c>
      <c r="V37" s="9">
        <f t="shared" si="20"/>
        <v>0</v>
      </c>
      <c r="W37" s="9">
        <f t="shared" si="21"/>
        <v>3</v>
      </c>
    </row>
    <row r="38" spans="1:23" x14ac:dyDescent="0.2">
      <c r="A38" s="8">
        <v>29</v>
      </c>
      <c r="B38" s="9" t="str">
        <f>VLOOKUP($A38, Equipes!$A$3:$B$42, 2, FALSE)</f>
        <v>PABLO MARTINS(SPFC)</v>
      </c>
      <c r="C38" s="18">
        <v>4</v>
      </c>
      <c r="D38" s="10" t="s">
        <v>22</v>
      </c>
      <c r="E38" s="18">
        <v>2</v>
      </c>
      <c r="F38" s="11" t="str">
        <f>VLOOKUP($G38, Equipes!$A$3:$B$42, 2, FALSE)</f>
        <v>GALDEANO(SCCP)</v>
      </c>
      <c r="G38" s="8">
        <v>31</v>
      </c>
      <c r="H38" s="9">
        <v>2</v>
      </c>
      <c r="I38" s="9" t="s">
        <v>17</v>
      </c>
      <c r="J38" s="9">
        <v>2</v>
      </c>
      <c r="M38" s="9" t="str">
        <f t="shared" si="11"/>
        <v>PABLO MARTINS(SPFC)</v>
      </c>
      <c r="N38" s="9" t="str">
        <f t="shared" si="12"/>
        <v>GALDEANO(SCCP)</v>
      </c>
      <c r="O38" s="9" t="str">
        <f t="shared" si="13"/>
        <v>PABLO MARTINS(SPFC)</v>
      </c>
      <c r="P38" s="9" t="str">
        <f t="shared" si="14"/>
        <v/>
      </c>
      <c r="Q38" s="9" t="str">
        <f t="shared" si="15"/>
        <v/>
      </c>
      <c r="R38" s="9" t="str">
        <f t="shared" si="16"/>
        <v>GALDEANO(SCCP)</v>
      </c>
      <c r="S38" s="9" t="str">
        <f t="shared" si="17"/>
        <v>PABLO MARTINS(SPFC)</v>
      </c>
      <c r="T38" s="9">
        <f t="shared" si="18"/>
        <v>4</v>
      </c>
      <c r="U38" s="9" t="str">
        <f t="shared" si="19"/>
        <v>GALDEANO(SCCP)</v>
      </c>
      <c r="V38" s="9">
        <f t="shared" si="20"/>
        <v>2</v>
      </c>
      <c r="W38" s="9">
        <f t="shared" si="21"/>
        <v>4</v>
      </c>
    </row>
    <row r="39" spans="1:23" x14ac:dyDescent="0.2">
      <c r="A39" s="8">
        <v>26</v>
      </c>
      <c r="B39" s="19" t="str">
        <f>VLOOKUP($A39, Equipes!$A$3:$B$42, 2, FALSE)</f>
        <v>RAFAEL BALIEIRO(LTVL)</v>
      </c>
      <c r="C39" s="18">
        <v>2</v>
      </c>
      <c r="D39" s="20" t="s">
        <v>22</v>
      </c>
      <c r="E39" s="18">
        <v>2</v>
      </c>
      <c r="F39" s="21" t="str">
        <f>VLOOKUP($G39, Equipes!$A$3:$B$42, 2, FALSE)</f>
        <v>BERGAMINI(MZ)</v>
      </c>
      <c r="G39" s="22">
        <v>32</v>
      </c>
      <c r="H39" s="19">
        <v>14</v>
      </c>
      <c r="I39" s="19" t="s">
        <v>17</v>
      </c>
      <c r="J39" s="19">
        <v>2</v>
      </c>
      <c r="K39" s="19"/>
      <c r="M39" s="9" t="str">
        <f t="shared" si="11"/>
        <v>RAFAEL BALIEIRO(LTVL)</v>
      </c>
      <c r="N39" s="9" t="str">
        <f t="shared" si="12"/>
        <v>BERGAMINI(MZ)</v>
      </c>
      <c r="O39" s="9" t="str">
        <f t="shared" si="13"/>
        <v/>
      </c>
      <c r="P39" s="9" t="str">
        <f t="shared" si="14"/>
        <v>RAFAEL BALIEIRO(LTVL)</v>
      </c>
      <c r="Q39" s="9" t="str">
        <f t="shared" si="15"/>
        <v>BERGAMINI(MZ)</v>
      </c>
      <c r="R39" s="9" t="str">
        <f t="shared" si="16"/>
        <v/>
      </c>
      <c r="S39" s="9" t="str">
        <f t="shared" si="17"/>
        <v>RAFAEL BALIEIRO(LTVL)</v>
      </c>
      <c r="T39" s="9">
        <f t="shared" si="18"/>
        <v>2</v>
      </c>
      <c r="U39" s="9" t="str">
        <f t="shared" si="19"/>
        <v>BERGAMINI(MZ)</v>
      </c>
      <c r="V39" s="9">
        <f t="shared" si="20"/>
        <v>2</v>
      </c>
      <c r="W39" s="9">
        <f t="shared" si="21"/>
        <v>2</v>
      </c>
    </row>
    <row r="40" spans="1:23" x14ac:dyDescent="0.2">
      <c r="A40" s="8">
        <v>27</v>
      </c>
      <c r="B40" s="9" t="str">
        <f>VLOOKUP($A40, Equipes!$A$3:$B$42, 2, FALSE)</f>
        <v>DJ IURY(BF)</v>
      </c>
      <c r="C40" s="18">
        <v>2</v>
      </c>
      <c r="D40" s="10" t="s">
        <v>22</v>
      </c>
      <c r="E40" s="18">
        <v>1</v>
      </c>
      <c r="F40" s="11" t="str">
        <f>VLOOKUP($G40, Equipes!$A$3:$B$42, 2, FALSE)</f>
        <v>CHARLEAUX(CEPE)</v>
      </c>
      <c r="G40" s="8">
        <v>28</v>
      </c>
      <c r="H40" s="9">
        <v>10</v>
      </c>
      <c r="I40" s="9" t="s">
        <v>17</v>
      </c>
      <c r="J40" s="9">
        <v>2</v>
      </c>
      <c r="M40" s="9" t="str">
        <f t="shared" si="11"/>
        <v>DJ IURY(BF)</v>
      </c>
      <c r="N40" s="9" t="str">
        <f t="shared" si="12"/>
        <v>CHARLEAUX(CEPE)</v>
      </c>
      <c r="O40" s="9" t="str">
        <f t="shared" si="13"/>
        <v>DJ IURY(BF)</v>
      </c>
      <c r="P40" s="9" t="str">
        <f t="shared" si="14"/>
        <v/>
      </c>
      <c r="Q40" s="9" t="str">
        <f t="shared" si="15"/>
        <v/>
      </c>
      <c r="R40" s="9" t="str">
        <f t="shared" si="16"/>
        <v>CHARLEAUX(CEPE)</v>
      </c>
      <c r="S40" s="9" t="str">
        <f t="shared" si="17"/>
        <v>DJ IURY(BF)</v>
      </c>
      <c r="T40" s="9">
        <f t="shared" si="18"/>
        <v>2</v>
      </c>
      <c r="U40" s="9" t="str">
        <f t="shared" si="19"/>
        <v>CHARLEAUX(CEPE)</v>
      </c>
      <c r="V40" s="9">
        <f t="shared" si="20"/>
        <v>1</v>
      </c>
      <c r="W40" s="9">
        <f t="shared" si="21"/>
        <v>2</v>
      </c>
    </row>
    <row r="41" spans="1:23" x14ac:dyDescent="0.2">
      <c r="A41" s="8">
        <v>33</v>
      </c>
      <c r="B41" s="19" t="str">
        <f>VLOOKUP($A41, Equipes!$A$3:$B$42, 2, FALSE)</f>
        <v>LÉO CARIOCA(MZ)</v>
      </c>
      <c r="C41" s="18">
        <v>1</v>
      </c>
      <c r="D41" s="20" t="s">
        <v>22</v>
      </c>
      <c r="E41" s="18">
        <v>1</v>
      </c>
      <c r="F41" s="21" t="str">
        <f>VLOOKUP($G41, Equipes!$A$3:$B$42, 2, FALSE)</f>
        <v>PAULO ROBERTO(SPFC)</v>
      </c>
      <c r="G41" s="22">
        <v>38</v>
      </c>
      <c r="H41" s="19">
        <v>16</v>
      </c>
      <c r="I41" s="19" t="s">
        <v>16</v>
      </c>
      <c r="J41" s="19">
        <v>2</v>
      </c>
      <c r="K41" s="19"/>
      <c r="M41" s="9" t="str">
        <f t="shared" si="11"/>
        <v>LÉO CARIOCA(MZ)</v>
      </c>
      <c r="N41" s="9" t="str">
        <f t="shared" si="12"/>
        <v>PAULO ROBERTO(SPFC)</v>
      </c>
      <c r="O41" s="9" t="str">
        <f t="shared" si="13"/>
        <v/>
      </c>
      <c r="P41" s="9" t="str">
        <f t="shared" si="14"/>
        <v>LÉO CARIOCA(MZ)</v>
      </c>
      <c r="Q41" s="9" t="str">
        <f t="shared" si="15"/>
        <v>PAULO ROBERTO(SPFC)</v>
      </c>
      <c r="R41" s="9" t="str">
        <f t="shared" si="16"/>
        <v/>
      </c>
      <c r="S41" s="9" t="str">
        <f t="shared" si="17"/>
        <v>LÉO CARIOCA(MZ)</v>
      </c>
      <c r="T41" s="9">
        <f t="shared" si="18"/>
        <v>1</v>
      </c>
      <c r="U41" s="9" t="str">
        <f t="shared" si="19"/>
        <v>PAULO ROBERTO(SPFC)</v>
      </c>
      <c r="V41" s="9">
        <f t="shared" si="20"/>
        <v>1</v>
      </c>
      <c r="W41" s="9">
        <f t="shared" si="21"/>
        <v>1</v>
      </c>
    </row>
    <row r="42" spans="1:23" x14ac:dyDescent="0.2">
      <c r="A42" s="8">
        <v>37</v>
      </c>
      <c r="B42" s="9" t="str">
        <f>VLOOKUP($A42, Equipes!$A$3:$B$42, 2, FALSE)</f>
        <v>BRAGHETTO(MZ)</v>
      </c>
      <c r="C42" s="18">
        <v>3</v>
      </c>
      <c r="D42" s="10" t="s">
        <v>22</v>
      </c>
      <c r="E42" s="18">
        <v>3</v>
      </c>
      <c r="F42" s="11" t="str">
        <f>VLOOKUP($G42, Equipes!$A$3:$B$42, 2, FALSE)</f>
        <v>RODRIGO MORO(SCCP)</v>
      </c>
      <c r="G42" s="8">
        <v>39</v>
      </c>
      <c r="H42" s="9">
        <v>17</v>
      </c>
      <c r="I42" s="9" t="s">
        <v>16</v>
      </c>
      <c r="J42" s="9">
        <v>2</v>
      </c>
      <c r="M42" s="9" t="str">
        <f t="shared" si="11"/>
        <v>BRAGHETTO(MZ)</v>
      </c>
      <c r="N42" s="9" t="str">
        <f t="shared" si="12"/>
        <v>RODRIGO MORO(SCCP)</v>
      </c>
      <c r="O42" s="9" t="str">
        <f t="shared" si="13"/>
        <v/>
      </c>
      <c r="P42" s="9" t="str">
        <f t="shared" si="14"/>
        <v>BRAGHETTO(MZ)</v>
      </c>
      <c r="Q42" s="9" t="str">
        <f t="shared" si="15"/>
        <v>RODRIGO MORO(SCCP)</v>
      </c>
      <c r="R42" s="9" t="str">
        <f t="shared" si="16"/>
        <v/>
      </c>
      <c r="S42" s="9" t="str">
        <f t="shared" si="17"/>
        <v>BRAGHETTO(MZ)</v>
      </c>
      <c r="T42" s="9">
        <f t="shared" si="18"/>
        <v>3</v>
      </c>
      <c r="U42" s="9" t="str">
        <f t="shared" si="19"/>
        <v>RODRIGO MORO(SCCP)</v>
      </c>
      <c r="V42" s="9">
        <f t="shared" si="20"/>
        <v>3</v>
      </c>
      <c r="W42" s="9">
        <f t="shared" si="21"/>
        <v>3</v>
      </c>
    </row>
    <row r="43" spans="1:23" x14ac:dyDescent="0.2">
      <c r="A43" s="8">
        <v>34</v>
      </c>
      <c r="B43" s="19" t="str">
        <f>VLOOKUP($A43, Equipes!$A$3:$B$42, 2, FALSE)</f>
        <v>ZÉ LUIZ(SPFC)</v>
      </c>
      <c r="C43" s="18">
        <v>2</v>
      </c>
      <c r="D43" s="20" t="s">
        <v>22</v>
      </c>
      <c r="E43" s="18">
        <v>0</v>
      </c>
      <c r="F43" s="21" t="str">
        <f>VLOOKUP($G43, Equipes!$A$3:$B$42, 2, FALSE)</f>
        <v>PEPE 2004(CEPE)</v>
      </c>
      <c r="G43" s="22">
        <v>40</v>
      </c>
      <c r="H43" s="19">
        <v>6</v>
      </c>
      <c r="I43" s="19" t="s">
        <v>16</v>
      </c>
      <c r="J43" s="19">
        <v>2</v>
      </c>
      <c r="K43" s="19"/>
      <c r="M43" s="9" t="str">
        <f t="shared" si="11"/>
        <v>ZÉ LUIZ(SPFC)</v>
      </c>
      <c r="N43" s="9" t="str">
        <f t="shared" si="12"/>
        <v>PEPE 2004(CEPE)</v>
      </c>
      <c r="O43" s="9" t="str">
        <f t="shared" si="13"/>
        <v>ZÉ LUIZ(SPFC)</v>
      </c>
      <c r="P43" s="9" t="str">
        <f t="shared" si="14"/>
        <v/>
      </c>
      <c r="Q43" s="9" t="str">
        <f t="shared" si="15"/>
        <v/>
      </c>
      <c r="R43" s="9" t="str">
        <f t="shared" si="16"/>
        <v>PEPE 2004(CEPE)</v>
      </c>
      <c r="S43" s="9" t="str">
        <f t="shared" si="17"/>
        <v>ZÉ LUIZ(SPFC)</v>
      </c>
      <c r="T43" s="9">
        <f t="shared" si="18"/>
        <v>2</v>
      </c>
      <c r="U43" s="9" t="str">
        <f t="shared" si="19"/>
        <v>PEPE 2004(CEPE)</v>
      </c>
      <c r="V43" s="9">
        <f t="shared" si="20"/>
        <v>0</v>
      </c>
      <c r="W43" s="9">
        <f t="shared" si="21"/>
        <v>2</v>
      </c>
    </row>
    <row r="44" spans="1:23" x14ac:dyDescent="0.2">
      <c r="A44" s="8">
        <v>35</v>
      </c>
      <c r="B44" s="9" t="str">
        <f>VLOOKUP($A44, Equipes!$A$3:$B$42, 2, FALSE)</f>
        <v>TUPINAMBÁ(LTVL)</v>
      </c>
      <c r="C44" s="18">
        <v>1</v>
      </c>
      <c r="D44" s="10" t="s">
        <v>22</v>
      </c>
      <c r="E44" s="18">
        <v>0</v>
      </c>
      <c r="F44" s="11" t="str">
        <f>VLOOKUP($G44, Equipes!$A$3:$B$42, 2, FALSE)</f>
        <v>RICARDO RAMALHO(BF)</v>
      </c>
      <c r="G44" s="8">
        <v>36</v>
      </c>
      <c r="H44" s="9">
        <v>15</v>
      </c>
      <c r="I44" s="9" t="s">
        <v>16</v>
      </c>
      <c r="J44" s="9">
        <v>2</v>
      </c>
      <c r="M44" s="9" t="str">
        <f t="shared" si="11"/>
        <v>TUPINAMBÁ(LTVL)</v>
      </c>
      <c r="N44" s="9" t="str">
        <f t="shared" si="12"/>
        <v>RICARDO RAMALHO(BF)</v>
      </c>
      <c r="O44" s="9" t="str">
        <f t="shared" si="13"/>
        <v>TUPINAMBÁ(LTVL)</v>
      </c>
      <c r="P44" s="9" t="str">
        <f t="shared" si="14"/>
        <v/>
      </c>
      <c r="Q44" s="9" t="str">
        <f t="shared" si="15"/>
        <v/>
      </c>
      <c r="R44" s="9" t="str">
        <f t="shared" si="16"/>
        <v>RICARDO RAMALHO(BF)</v>
      </c>
      <c r="S44" s="9" t="str">
        <f t="shared" si="17"/>
        <v>TUPINAMBÁ(LTVL)</v>
      </c>
      <c r="T44" s="9">
        <f t="shared" si="18"/>
        <v>1</v>
      </c>
      <c r="U44" s="9" t="str">
        <f t="shared" si="19"/>
        <v>RICARDO RAMALHO(BF)</v>
      </c>
      <c r="V44" s="9">
        <f t="shared" si="20"/>
        <v>0</v>
      </c>
      <c r="W44" s="9">
        <f t="shared" si="21"/>
        <v>1</v>
      </c>
    </row>
    <row r="45" spans="1:23" x14ac:dyDescent="0.2">
      <c r="B45" s="13" t="s">
        <v>27</v>
      </c>
      <c r="C45" s="14"/>
      <c r="D45" s="14"/>
      <c r="E45" s="14"/>
      <c r="F45" s="15"/>
      <c r="G45" s="16"/>
      <c r="H45" s="13" t="s">
        <v>11</v>
      </c>
      <c r="I45" s="13" t="s">
        <v>12</v>
      </c>
      <c r="J45" s="13" t="s">
        <v>13</v>
      </c>
      <c r="K45" s="17">
        <f>K3 + TIME(0,40,0)</f>
        <v>45340.541666666672</v>
      </c>
      <c r="M45" s="12" t="s">
        <v>14</v>
      </c>
      <c r="N45" s="12" t="s">
        <v>14</v>
      </c>
      <c r="O45" s="12" t="s">
        <v>15</v>
      </c>
      <c r="P45" s="12" t="s">
        <v>16</v>
      </c>
      <c r="Q45" s="12" t="s">
        <v>16</v>
      </c>
      <c r="R45" s="12" t="s">
        <v>17</v>
      </c>
      <c r="S45" s="12" t="s">
        <v>18</v>
      </c>
      <c r="T45" s="12" t="s">
        <v>19</v>
      </c>
      <c r="U45" s="12" t="s">
        <v>15</v>
      </c>
      <c r="V45" s="12" t="s">
        <v>20</v>
      </c>
      <c r="W45" s="12" t="s">
        <v>21</v>
      </c>
    </row>
    <row r="46" spans="1:23" x14ac:dyDescent="0.2">
      <c r="A46" s="8">
        <v>1</v>
      </c>
      <c r="B46" s="9" t="str">
        <f>VLOOKUP($A46, Equipes!$A$3:$B$42, 2, FALSE)</f>
        <v>RUAS(CEPE)</v>
      </c>
      <c r="C46" s="18">
        <v>2</v>
      </c>
      <c r="D46" s="10" t="s">
        <v>22</v>
      </c>
      <c r="E46" s="18">
        <v>0</v>
      </c>
      <c r="F46" s="11" t="str">
        <f>VLOOKUP($G46, Equipes!$A$3:$B$42, 2, FALSE)</f>
        <v>AURÉLIO(BF)</v>
      </c>
      <c r="G46" s="8">
        <v>7</v>
      </c>
      <c r="H46" s="9">
        <v>15</v>
      </c>
      <c r="I46" s="9" t="s">
        <v>23</v>
      </c>
      <c r="J46" s="9">
        <v>3</v>
      </c>
      <c r="M46" s="9" t="str">
        <f t="shared" ref="M46:M65" si="22">IF(OR(C46 = "",E46 = ""), "", B46)</f>
        <v>RUAS(CEPE)</v>
      </c>
      <c r="N46" s="9" t="str">
        <f t="shared" ref="N46:N65" si="23">IF(OR(C46 = "",E46 = ""), "", F46)</f>
        <v>AURÉLIO(BF)</v>
      </c>
      <c r="O46" s="9" t="str">
        <f t="shared" ref="O46:O65" si="24">IF(C46&gt;E46,B46, IF(E46&gt;C46,F46, ""))</f>
        <v>RUAS(CEPE)</v>
      </c>
      <c r="P46" s="9" t="str">
        <f t="shared" ref="P46:P65" si="25">IF(OR(C46 = "",E46 = ""), "", IF(C46=E46,B46, ""))</f>
        <v/>
      </c>
      <c r="Q46" s="9" t="str">
        <f t="shared" ref="Q46:Q65" si="26">IF(OR(C46 = "",E46 = ""), "", IF(C46=E46,F46, ""))</f>
        <v/>
      </c>
      <c r="R46" s="9" t="str">
        <f t="shared" ref="R46:R65" si="27">IF(C46&gt;E46,F46, IF(E46&gt;C46,B46, ""))</f>
        <v>AURÉLIO(BF)</v>
      </c>
      <c r="S46" s="9" t="str">
        <f t="shared" ref="S46:S65" si="28">IF(OR(C46 = "",E46 = ""), "", B46)</f>
        <v>RUAS(CEPE)</v>
      </c>
      <c r="T46" s="9">
        <f t="shared" ref="T46:T65" si="29">IF(C46 = "", "", C46)</f>
        <v>2</v>
      </c>
      <c r="U46" s="9" t="str">
        <f t="shared" ref="U46:U65" si="30">IF(OR(C46 = "",E46 = ""), "", F46)</f>
        <v>AURÉLIO(BF)</v>
      </c>
      <c r="V46" s="9">
        <f t="shared" ref="V46:V65" si="31">IF(E46 = "", "", E46)</f>
        <v>0</v>
      </c>
      <c r="W46" s="9">
        <f t="shared" ref="W46:W65" si="32">IF(C46 = "", "", C46)</f>
        <v>2</v>
      </c>
    </row>
    <row r="47" spans="1:23" x14ac:dyDescent="0.2">
      <c r="A47" s="8">
        <v>6</v>
      </c>
      <c r="B47" s="19" t="str">
        <f>VLOOKUP($A47, Equipes!$A$3:$B$42, 2, FALSE)</f>
        <v>COELHO(SCCP)</v>
      </c>
      <c r="C47" s="18">
        <v>4</v>
      </c>
      <c r="D47" s="20" t="s">
        <v>22</v>
      </c>
      <c r="E47" s="18">
        <v>3</v>
      </c>
      <c r="F47" s="21" t="str">
        <f>VLOOKUP($G47, Equipes!$A$3:$B$42, 2, FALSE)</f>
        <v>CORTEZ(MZ)</v>
      </c>
      <c r="G47" s="22">
        <v>8</v>
      </c>
      <c r="H47" s="19">
        <v>20</v>
      </c>
      <c r="I47" s="19" t="s">
        <v>23</v>
      </c>
      <c r="J47" s="19">
        <v>3</v>
      </c>
      <c r="K47" s="19"/>
      <c r="M47" s="9" t="str">
        <f t="shared" si="22"/>
        <v>COELHO(SCCP)</v>
      </c>
      <c r="N47" s="9" t="str">
        <f t="shared" si="23"/>
        <v>CORTEZ(MZ)</v>
      </c>
      <c r="O47" s="9" t="str">
        <f t="shared" si="24"/>
        <v>COELHO(SCCP)</v>
      </c>
      <c r="P47" s="9" t="str">
        <f t="shared" si="25"/>
        <v/>
      </c>
      <c r="Q47" s="9" t="str">
        <f t="shared" si="26"/>
        <v/>
      </c>
      <c r="R47" s="9" t="str">
        <f t="shared" si="27"/>
        <v>CORTEZ(MZ)</v>
      </c>
      <c r="S47" s="9" t="str">
        <f t="shared" si="28"/>
        <v>COELHO(SCCP)</v>
      </c>
      <c r="T47" s="9">
        <f t="shared" si="29"/>
        <v>4</v>
      </c>
      <c r="U47" s="9" t="str">
        <f t="shared" si="30"/>
        <v>CORTEZ(MZ)</v>
      </c>
      <c r="V47" s="9">
        <f t="shared" si="31"/>
        <v>3</v>
      </c>
      <c r="W47" s="9">
        <f t="shared" si="32"/>
        <v>4</v>
      </c>
    </row>
    <row r="48" spans="1:23" x14ac:dyDescent="0.2">
      <c r="A48" s="8">
        <v>5</v>
      </c>
      <c r="B48" s="9" t="str">
        <f>VLOOKUP($A48, Equipes!$A$3:$B$42, 2, FALSE)</f>
        <v>CLÉO JR (CEPE)</v>
      </c>
      <c r="C48" s="18">
        <v>0</v>
      </c>
      <c r="D48" s="10" t="s">
        <v>22</v>
      </c>
      <c r="E48" s="18">
        <v>1</v>
      </c>
      <c r="F48" s="11" t="str">
        <f>VLOOKUP($G48, Equipes!$A$3:$B$42, 2, FALSE)</f>
        <v>PROFESSOR(LTVL)</v>
      </c>
      <c r="G48" s="8">
        <v>4</v>
      </c>
      <c r="H48" s="9">
        <v>4</v>
      </c>
      <c r="I48" s="9" t="s">
        <v>23</v>
      </c>
      <c r="J48" s="9">
        <v>3</v>
      </c>
      <c r="M48" s="9" t="str">
        <f t="shared" si="22"/>
        <v>CLÉO JR (CEPE)</v>
      </c>
      <c r="N48" s="9" t="str">
        <f t="shared" si="23"/>
        <v>PROFESSOR(LTVL)</v>
      </c>
      <c r="O48" s="9" t="str">
        <f t="shared" si="24"/>
        <v>PROFESSOR(LTVL)</v>
      </c>
      <c r="P48" s="9" t="str">
        <f t="shared" si="25"/>
        <v/>
      </c>
      <c r="Q48" s="9" t="str">
        <f t="shared" si="26"/>
        <v/>
      </c>
      <c r="R48" s="9" t="str">
        <f t="shared" si="27"/>
        <v>CLÉO JR (CEPE)</v>
      </c>
      <c r="S48" s="9" t="str">
        <f t="shared" si="28"/>
        <v>CLÉO JR (CEPE)</v>
      </c>
      <c r="T48" s="9">
        <f t="shared" si="29"/>
        <v>0</v>
      </c>
      <c r="U48" s="9" t="str">
        <f t="shared" si="30"/>
        <v>PROFESSOR(LTVL)</v>
      </c>
      <c r="V48" s="9">
        <f t="shared" si="31"/>
        <v>1</v>
      </c>
      <c r="W48" s="9">
        <f t="shared" si="32"/>
        <v>0</v>
      </c>
    </row>
    <row r="49" spans="1:23" x14ac:dyDescent="0.2">
      <c r="A49" s="8">
        <v>2</v>
      </c>
      <c r="B49" s="19" t="str">
        <f>VLOOKUP($A49, Equipes!$A$3:$B$42, 2, FALSE)</f>
        <v>MARCOS WILLOW(SCCP)</v>
      </c>
      <c r="C49" s="18">
        <v>1</v>
      </c>
      <c r="D49" s="20" t="s">
        <v>22</v>
      </c>
      <c r="E49" s="18">
        <v>1</v>
      </c>
      <c r="F49" s="21" t="str">
        <f>VLOOKUP($G49, Equipes!$A$3:$B$42, 2, FALSE)</f>
        <v>SALLYS(SPFC)</v>
      </c>
      <c r="G49" s="22">
        <v>3</v>
      </c>
      <c r="H49" s="19">
        <v>13</v>
      </c>
      <c r="I49" s="19" t="s">
        <v>23</v>
      </c>
      <c r="J49" s="19">
        <v>3</v>
      </c>
      <c r="K49" s="19"/>
      <c r="M49" s="9" t="str">
        <f t="shared" si="22"/>
        <v>MARCOS WILLOW(SCCP)</v>
      </c>
      <c r="N49" s="9" t="str">
        <f t="shared" si="23"/>
        <v>SALLYS(SPFC)</v>
      </c>
      <c r="O49" s="9" t="str">
        <f t="shared" si="24"/>
        <v/>
      </c>
      <c r="P49" s="9" t="str">
        <f t="shared" si="25"/>
        <v>MARCOS WILLOW(SCCP)</v>
      </c>
      <c r="Q49" s="9" t="str">
        <f t="shared" si="26"/>
        <v>SALLYS(SPFC)</v>
      </c>
      <c r="R49" s="9" t="str">
        <f t="shared" si="27"/>
        <v/>
      </c>
      <c r="S49" s="9" t="str">
        <f t="shared" si="28"/>
        <v>MARCOS WILLOW(SCCP)</v>
      </c>
      <c r="T49" s="9">
        <f t="shared" si="29"/>
        <v>1</v>
      </c>
      <c r="U49" s="9" t="str">
        <f t="shared" si="30"/>
        <v>SALLYS(SPFC)</v>
      </c>
      <c r="V49" s="9">
        <f t="shared" si="31"/>
        <v>1</v>
      </c>
      <c r="W49" s="9">
        <f t="shared" si="32"/>
        <v>1</v>
      </c>
    </row>
    <row r="50" spans="1:23" x14ac:dyDescent="0.2">
      <c r="A50" s="8">
        <v>9</v>
      </c>
      <c r="B50" s="9" t="str">
        <f>VLOOKUP($A50, Equipes!$A$3:$B$42, 2, FALSE)</f>
        <v>TABAJARA(CEPE)</v>
      </c>
      <c r="C50" s="18">
        <v>1</v>
      </c>
      <c r="D50" s="10" t="s">
        <v>22</v>
      </c>
      <c r="E50" s="18">
        <v>1</v>
      </c>
      <c r="F50" s="11" t="str">
        <f>VLOOKUP($G50, Equipes!$A$3:$B$42, 2, FALSE)</f>
        <v>AUGUSTO(BF)</v>
      </c>
      <c r="G50" s="8">
        <v>15</v>
      </c>
      <c r="H50" s="9">
        <v>17</v>
      </c>
      <c r="I50" s="9" t="s">
        <v>24</v>
      </c>
      <c r="J50" s="9">
        <v>3</v>
      </c>
      <c r="M50" s="9" t="str">
        <f t="shared" si="22"/>
        <v>TABAJARA(CEPE)</v>
      </c>
      <c r="N50" s="9" t="str">
        <f t="shared" si="23"/>
        <v>AUGUSTO(BF)</v>
      </c>
      <c r="O50" s="9" t="str">
        <f t="shared" si="24"/>
        <v/>
      </c>
      <c r="P50" s="9" t="str">
        <f t="shared" si="25"/>
        <v>TABAJARA(CEPE)</v>
      </c>
      <c r="Q50" s="9" t="str">
        <f t="shared" si="26"/>
        <v>AUGUSTO(BF)</v>
      </c>
      <c r="R50" s="9" t="str">
        <f t="shared" si="27"/>
        <v/>
      </c>
      <c r="S50" s="9" t="str">
        <f t="shared" si="28"/>
        <v>TABAJARA(CEPE)</v>
      </c>
      <c r="T50" s="9">
        <f t="shared" si="29"/>
        <v>1</v>
      </c>
      <c r="U50" s="9" t="str">
        <f t="shared" si="30"/>
        <v>AUGUSTO(BF)</v>
      </c>
      <c r="V50" s="9">
        <f t="shared" si="31"/>
        <v>1</v>
      </c>
      <c r="W50" s="9">
        <f t="shared" si="32"/>
        <v>1</v>
      </c>
    </row>
    <row r="51" spans="1:23" x14ac:dyDescent="0.2">
      <c r="A51" s="8">
        <v>14</v>
      </c>
      <c r="B51" s="19" t="str">
        <f>VLOOKUP($A51, Equipes!$A$3:$B$42, 2, FALSE)</f>
        <v>VINICIUS ROLIM(SCCP)</v>
      </c>
      <c r="C51" s="18">
        <v>0</v>
      </c>
      <c r="D51" s="20" t="s">
        <v>22</v>
      </c>
      <c r="E51" s="18">
        <v>0</v>
      </c>
      <c r="F51" s="21" t="str">
        <f>VLOOKUP($G51, Equipes!$A$3:$B$42, 2, FALSE)</f>
        <v>LUIZ COELHO(MZ)</v>
      </c>
      <c r="G51" s="22">
        <v>16</v>
      </c>
      <c r="H51" s="19">
        <v>2</v>
      </c>
      <c r="I51" s="19" t="s">
        <v>24</v>
      </c>
      <c r="J51" s="19">
        <v>3</v>
      </c>
      <c r="K51" s="19"/>
      <c r="M51" s="9" t="str">
        <f t="shared" si="22"/>
        <v>VINICIUS ROLIM(SCCP)</v>
      </c>
      <c r="N51" s="9" t="str">
        <f t="shared" si="23"/>
        <v>LUIZ COELHO(MZ)</v>
      </c>
      <c r="O51" s="9" t="str">
        <f t="shared" si="24"/>
        <v/>
      </c>
      <c r="P51" s="9" t="str">
        <f t="shared" si="25"/>
        <v>VINICIUS ROLIM(SCCP)</v>
      </c>
      <c r="Q51" s="9" t="str">
        <f t="shared" si="26"/>
        <v>LUIZ COELHO(MZ)</v>
      </c>
      <c r="R51" s="9" t="str">
        <f t="shared" si="27"/>
        <v/>
      </c>
      <c r="S51" s="9" t="str">
        <f t="shared" si="28"/>
        <v>VINICIUS ROLIM(SCCP)</v>
      </c>
      <c r="T51" s="9">
        <f t="shared" si="29"/>
        <v>0</v>
      </c>
      <c r="U51" s="9" t="str">
        <f t="shared" si="30"/>
        <v>LUIZ COELHO(MZ)</v>
      </c>
      <c r="V51" s="9">
        <f t="shared" si="31"/>
        <v>0</v>
      </c>
      <c r="W51" s="9">
        <f t="shared" si="32"/>
        <v>0</v>
      </c>
    </row>
    <row r="52" spans="1:23" x14ac:dyDescent="0.2">
      <c r="A52" s="8">
        <v>13</v>
      </c>
      <c r="B52" s="9" t="str">
        <f>VLOOKUP($A52, Equipes!$A$3:$B$42, 2, FALSE)</f>
        <v>DIOGO(CEPE)</v>
      </c>
      <c r="C52" s="18">
        <v>3</v>
      </c>
      <c r="D52" s="10" t="s">
        <v>22</v>
      </c>
      <c r="E52" s="18">
        <v>1</v>
      </c>
      <c r="F52" s="11" t="str">
        <f>VLOOKUP($G52, Equipes!$A$3:$B$42, 2, FALSE)</f>
        <v>MARIELCIO(LTVL)</v>
      </c>
      <c r="G52" s="8">
        <v>12</v>
      </c>
      <c r="H52" s="9">
        <v>1</v>
      </c>
      <c r="I52" s="9" t="s">
        <v>24</v>
      </c>
      <c r="J52" s="9">
        <v>3</v>
      </c>
      <c r="M52" s="9" t="str">
        <f t="shared" si="22"/>
        <v>DIOGO(CEPE)</v>
      </c>
      <c r="N52" s="9" t="str">
        <f t="shared" si="23"/>
        <v>MARIELCIO(LTVL)</v>
      </c>
      <c r="O52" s="9" t="str">
        <f t="shared" si="24"/>
        <v>DIOGO(CEPE)</v>
      </c>
      <c r="P52" s="9" t="str">
        <f t="shared" si="25"/>
        <v/>
      </c>
      <c r="Q52" s="9" t="str">
        <f t="shared" si="26"/>
        <v/>
      </c>
      <c r="R52" s="9" t="str">
        <f t="shared" si="27"/>
        <v>MARIELCIO(LTVL)</v>
      </c>
      <c r="S52" s="9" t="str">
        <f t="shared" si="28"/>
        <v>DIOGO(CEPE)</v>
      </c>
      <c r="T52" s="9">
        <f t="shared" si="29"/>
        <v>3</v>
      </c>
      <c r="U52" s="9" t="str">
        <f t="shared" si="30"/>
        <v>MARIELCIO(LTVL)</v>
      </c>
      <c r="V52" s="9">
        <f t="shared" si="31"/>
        <v>1</v>
      </c>
      <c r="W52" s="9">
        <f t="shared" si="32"/>
        <v>3</v>
      </c>
    </row>
    <row r="53" spans="1:23" x14ac:dyDescent="0.2">
      <c r="A53" s="8">
        <v>10</v>
      </c>
      <c r="B53" s="19" t="str">
        <f>VLOOKUP($A53, Equipes!$A$3:$B$42, 2, FALSE)</f>
        <v>REGINALDO(SCCP)</v>
      </c>
      <c r="C53" s="18">
        <v>0</v>
      </c>
      <c r="D53" s="20" t="s">
        <v>22</v>
      </c>
      <c r="E53" s="18">
        <v>4</v>
      </c>
      <c r="F53" s="21" t="str">
        <f>VLOOKUP($G53, Equipes!$A$3:$B$42, 2, FALSE)</f>
        <v>ELSIO(SPFC)</v>
      </c>
      <c r="G53" s="22">
        <v>11</v>
      </c>
      <c r="H53" s="19">
        <v>9</v>
      </c>
      <c r="I53" s="19" t="s">
        <v>24</v>
      </c>
      <c r="J53" s="19">
        <v>3</v>
      </c>
      <c r="K53" s="19"/>
      <c r="M53" s="9" t="str">
        <f t="shared" si="22"/>
        <v>REGINALDO(SCCP)</v>
      </c>
      <c r="N53" s="9" t="str">
        <f t="shared" si="23"/>
        <v>ELSIO(SPFC)</v>
      </c>
      <c r="O53" s="9" t="str">
        <f t="shared" si="24"/>
        <v>ELSIO(SPFC)</v>
      </c>
      <c r="P53" s="9" t="str">
        <f t="shared" si="25"/>
        <v/>
      </c>
      <c r="Q53" s="9" t="str">
        <f t="shared" si="26"/>
        <v/>
      </c>
      <c r="R53" s="9" t="str">
        <f t="shared" si="27"/>
        <v>REGINALDO(SCCP)</v>
      </c>
      <c r="S53" s="9" t="str">
        <f t="shared" si="28"/>
        <v>REGINALDO(SCCP)</v>
      </c>
      <c r="T53" s="9">
        <f t="shared" si="29"/>
        <v>0</v>
      </c>
      <c r="U53" s="9" t="str">
        <f t="shared" si="30"/>
        <v>ELSIO(SPFC)</v>
      </c>
      <c r="V53" s="9">
        <f t="shared" si="31"/>
        <v>4</v>
      </c>
      <c r="W53" s="9">
        <f t="shared" si="32"/>
        <v>0</v>
      </c>
    </row>
    <row r="54" spans="1:23" x14ac:dyDescent="0.2">
      <c r="A54" s="8">
        <v>17</v>
      </c>
      <c r="B54" s="9" t="str">
        <f>VLOOKUP($A54, Equipes!$A$3:$B$42, 2, FALSE)</f>
        <v>AFONSO(CEPE)</v>
      </c>
      <c r="C54" s="18">
        <v>0</v>
      </c>
      <c r="D54" s="10" t="s">
        <v>22</v>
      </c>
      <c r="E54" s="18">
        <v>2</v>
      </c>
      <c r="F54" s="11" t="str">
        <f>VLOOKUP($G54, Equipes!$A$3:$B$42, 2, FALSE)</f>
        <v>SÉRGIO BARREIRA(SCCP)</v>
      </c>
      <c r="G54" s="8">
        <v>23</v>
      </c>
      <c r="H54" s="9">
        <v>12</v>
      </c>
      <c r="I54" s="9" t="s">
        <v>25</v>
      </c>
      <c r="J54" s="9">
        <v>3</v>
      </c>
      <c r="M54" s="9" t="str">
        <f t="shared" si="22"/>
        <v>AFONSO(CEPE)</v>
      </c>
      <c r="N54" s="9" t="str">
        <f t="shared" si="23"/>
        <v>SÉRGIO BARREIRA(SCCP)</v>
      </c>
      <c r="O54" s="9" t="str">
        <f t="shared" si="24"/>
        <v>SÉRGIO BARREIRA(SCCP)</v>
      </c>
      <c r="P54" s="9" t="str">
        <f t="shared" si="25"/>
        <v/>
      </c>
      <c r="Q54" s="9" t="str">
        <f t="shared" si="26"/>
        <v/>
      </c>
      <c r="R54" s="9" t="str">
        <f t="shared" si="27"/>
        <v>AFONSO(CEPE)</v>
      </c>
      <c r="S54" s="9" t="str">
        <f t="shared" si="28"/>
        <v>AFONSO(CEPE)</v>
      </c>
      <c r="T54" s="9">
        <f t="shared" si="29"/>
        <v>0</v>
      </c>
      <c r="U54" s="9" t="str">
        <f t="shared" si="30"/>
        <v>SÉRGIO BARREIRA(SCCP)</v>
      </c>
      <c r="V54" s="9">
        <f t="shared" si="31"/>
        <v>2</v>
      </c>
      <c r="W54" s="9">
        <f t="shared" si="32"/>
        <v>0</v>
      </c>
    </row>
    <row r="55" spans="1:23" x14ac:dyDescent="0.2">
      <c r="A55" s="8">
        <v>22</v>
      </c>
      <c r="B55" s="19" t="str">
        <f>VLOOKUP($A55, Equipes!$A$3:$B$42, 2, FALSE)</f>
        <v>ELCIO(LTVL)</v>
      </c>
      <c r="C55" s="18">
        <v>0</v>
      </c>
      <c r="D55" s="20" t="s">
        <v>22</v>
      </c>
      <c r="E55" s="18">
        <v>1</v>
      </c>
      <c r="F55" s="21" t="str">
        <f>VLOOKUP($G55, Equipes!$A$3:$B$42, 2, FALSE)</f>
        <v>MARIO MILI(MZ)</v>
      </c>
      <c r="G55" s="22">
        <v>24</v>
      </c>
      <c r="H55" s="19">
        <v>5</v>
      </c>
      <c r="I55" s="19" t="s">
        <v>25</v>
      </c>
      <c r="J55" s="19">
        <v>3</v>
      </c>
      <c r="K55" s="19"/>
      <c r="M55" s="9" t="str">
        <f t="shared" si="22"/>
        <v>ELCIO(LTVL)</v>
      </c>
      <c r="N55" s="9" t="str">
        <f t="shared" si="23"/>
        <v>MARIO MILI(MZ)</v>
      </c>
      <c r="O55" s="9" t="str">
        <f t="shared" si="24"/>
        <v>MARIO MILI(MZ)</v>
      </c>
      <c r="P55" s="9" t="str">
        <f t="shared" si="25"/>
        <v/>
      </c>
      <c r="Q55" s="9" t="str">
        <f t="shared" si="26"/>
        <v/>
      </c>
      <c r="R55" s="9" t="str">
        <f t="shared" si="27"/>
        <v>ELCIO(LTVL)</v>
      </c>
      <c r="S55" s="9" t="str">
        <f t="shared" si="28"/>
        <v>ELCIO(LTVL)</v>
      </c>
      <c r="T55" s="9">
        <f t="shared" si="29"/>
        <v>0</v>
      </c>
      <c r="U55" s="9" t="str">
        <f t="shared" si="30"/>
        <v>MARIO MILI(MZ)</v>
      </c>
      <c r="V55" s="9">
        <f t="shared" si="31"/>
        <v>1</v>
      </c>
      <c r="W55" s="9">
        <f t="shared" si="32"/>
        <v>0</v>
      </c>
    </row>
    <row r="56" spans="1:23" x14ac:dyDescent="0.2">
      <c r="A56" s="8">
        <v>21</v>
      </c>
      <c r="B56" s="9" t="str">
        <f>VLOOKUP($A56, Equipes!$A$3:$B$42, 2, FALSE)</f>
        <v>FÉLIX(CEPE)</v>
      </c>
      <c r="C56" s="18">
        <v>0</v>
      </c>
      <c r="D56" s="10" t="s">
        <v>22</v>
      </c>
      <c r="E56" s="18">
        <v>2</v>
      </c>
      <c r="F56" s="11" t="str">
        <f>VLOOKUP($G56, Equipes!$A$3:$B$42, 2, FALSE)</f>
        <v>MARCOS MATTOS(BF)</v>
      </c>
      <c r="G56" s="8">
        <v>20</v>
      </c>
      <c r="H56" s="9">
        <v>11</v>
      </c>
      <c r="I56" s="9" t="s">
        <v>25</v>
      </c>
      <c r="J56" s="9">
        <v>3</v>
      </c>
      <c r="M56" s="9" t="str">
        <f t="shared" si="22"/>
        <v>FÉLIX(CEPE)</v>
      </c>
      <c r="N56" s="9" t="str">
        <f t="shared" si="23"/>
        <v>MARCOS MATTOS(BF)</v>
      </c>
      <c r="O56" s="9" t="str">
        <f t="shared" si="24"/>
        <v>MARCOS MATTOS(BF)</v>
      </c>
      <c r="P56" s="9" t="str">
        <f t="shared" si="25"/>
        <v/>
      </c>
      <c r="Q56" s="9" t="str">
        <f t="shared" si="26"/>
        <v/>
      </c>
      <c r="R56" s="9" t="str">
        <f t="shared" si="27"/>
        <v>FÉLIX(CEPE)</v>
      </c>
      <c r="S56" s="9" t="str">
        <f t="shared" si="28"/>
        <v>FÉLIX(CEPE)</v>
      </c>
      <c r="T56" s="9">
        <f t="shared" si="29"/>
        <v>0</v>
      </c>
      <c r="U56" s="9" t="str">
        <f t="shared" si="30"/>
        <v>MARCOS MATTOS(BF)</v>
      </c>
      <c r="V56" s="9">
        <f t="shared" si="31"/>
        <v>2</v>
      </c>
      <c r="W56" s="9">
        <f t="shared" si="32"/>
        <v>0</v>
      </c>
    </row>
    <row r="57" spans="1:23" x14ac:dyDescent="0.2">
      <c r="A57" s="8">
        <v>18</v>
      </c>
      <c r="B57" s="19" t="str">
        <f>VLOOKUP($A57, Equipes!$A$3:$B$42, 2, FALSE)</f>
        <v>MARIELCINHO(LTVL)</v>
      </c>
      <c r="C57" s="18">
        <v>0</v>
      </c>
      <c r="D57" s="20" t="s">
        <v>22</v>
      </c>
      <c r="E57" s="18">
        <v>4</v>
      </c>
      <c r="F57" s="21" t="str">
        <f>VLOOKUP($G57, Equipes!$A$3:$B$42, 2, FALSE)</f>
        <v>WAGNER(SPFC)</v>
      </c>
      <c r="G57" s="22">
        <v>19</v>
      </c>
      <c r="H57" s="19">
        <v>16</v>
      </c>
      <c r="I57" s="19" t="s">
        <v>25</v>
      </c>
      <c r="J57" s="19">
        <v>3</v>
      </c>
      <c r="K57" s="19"/>
      <c r="M57" s="9" t="str">
        <f t="shared" si="22"/>
        <v>MARIELCINHO(LTVL)</v>
      </c>
      <c r="N57" s="9" t="str">
        <f t="shared" si="23"/>
        <v>WAGNER(SPFC)</v>
      </c>
      <c r="O57" s="9" t="str">
        <f t="shared" si="24"/>
        <v>WAGNER(SPFC)</v>
      </c>
      <c r="P57" s="9" t="str">
        <f t="shared" si="25"/>
        <v/>
      </c>
      <c r="Q57" s="9" t="str">
        <f t="shared" si="26"/>
        <v/>
      </c>
      <c r="R57" s="9" t="str">
        <f t="shared" si="27"/>
        <v>MARIELCINHO(LTVL)</v>
      </c>
      <c r="S57" s="9" t="str">
        <f t="shared" si="28"/>
        <v>MARIELCINHO(LTVL)</v>
      </c>
      <c r="T57" s="9">
        <f t="shared" si="29"/>
        <v>0</v>
      </c>
      <c r="U57" s="9" t="str">
        <f t="shared" si="30"/>
        <v>WAGNER(SPFC)</v>
      </c>
      <c r="V57" s="9">
        <f t="shared" si="31"/>
        <v>4</v>
      </c>
      <c r="W57" s="9">
        <f t="shared" si="32"/>
        <v>0</v>
      </c>
    </row>
    <row r="58" spans="1:23" x14ac:dyDescent="0.2">
      <c r="A58" s="8">
        <v>25</v>
      </c>
      <c r="B58" s="9" t="str">
        <f>VLOOKUP($A58, Equipes!$A$3:$B$42, 2, FALSE)</f>
        <v>MARCÃO SILVA(SPFC)</v>
      </c>
      <c r="C58" s="18">
        <v>0</v>
      </c>
      <c r="D58" s="10" t="s">
        <v>22</v>
      </c>
      <c r="E58" s="18">
        <v>3</v>
      </c>
      <c r="F58" s="11" t="str">
        <f>VLOOKUP($G58, Equipes!$A$3:$B$42, 2, FALSE)</f>
        <v>GALDEANO(SCCP)</v>
      </c>
      <c r="G58" s="8">
        <v>31</v>
      </c>
      <c r="H58" s="9">
        <v>14</v>
      </c>
      <c r="I58" s="9" t="s">
        <v>17</v>
      </c>
      <c r="J58" s="9">
        <v>3</v>
      </c>
      <c r="M58" s="9" t="str">
        <f t="shared" si="22"/>
        <v>MARCÃO SILVA(SPFC)</v>
      </c>
      <c r="N58" s="9" t="str">
        <f t="shared" si="23"/>
        <v>GALDEANO(SCCP)</v>
      </c>
      <c r="O58" s="9" t="str">
        <f t="shared" si="24"/>
        <v>GALDEANO(SCCP)</v>
      </c>
      <c r="P58" s="9" t="str">
        <f t="shared" si="25"/>
        <v/>
      </c>
      <c r="Q58" s="9" t="str">
        <f t="shared" si="26"/>
        <v/>
      </c>
      <c r="R58" s="9" t="str">
        <f t="shared" si="27"/>
        <v>MARCÃO SILVA(SPFC)</v>
      </c>
      <c r="S58" s="9" t="str">
        <f t="shared" si="28"/>
        <v>MARCÃO SILVA(SPFC)</v>
      </c>
      <c r="T58" s="9">
        <f t="shared" si="29"/>
        <v>0</v>
      </c>
      <c r="U58" s="9" t="str">
        <f t="shared" si="30"/>
        <v>GALDEANO(SCCP)</v>
      </c>
      <c r="V58" s="9">
        <f t="shared" si="31"/>
        <v>3</v>
      </c>
      <c r="W58" s="9">
        <f t="shared" si="32"/>
        <v>0</v>
      </c>
    </row>
    <row r="59" spans="1:23" x14ac:dyDescent="0.2">
      <c r="A59" s="8">
        <v>30</v>
      </c>
      <c r="B59" s="19" t="str">
        <f>VLOOKUP($A59, Equipes!$A$3:$B$42, 2, FALSE)</f>
        <v>GUANABARA(LTVL)</v>
      </c>
      <c r="C59" s="18">
        <v>2</v>
      </c>
      <c r="D59" s="20" t="s">
        <v>22</v>
      </c>
      <c r="E59" s="18">
        <v>1</v>
      </c>
      <c r="F59" s="21" t="str">
        <f>VLOOKUP($G59, Equipes!$A$3:$B$42, 2, FALSE)</f>
        <v>BERGAMINI(MZ)</v>
      </c>
      <c r="G59" s="22">
        <v>32</v>
      </c>
      <c r="H59" s="19">
        <v>3</v>
      </c>
      <c r="I59" s="19" t="s">
        <v>17</v>
      </c>
      <c r="J59" s="19">
        <v>3</v>
      </c>
      <c r="K59" s="19"/>
      <c r="M59" s="9" t="str">
        <f t="shared" si="22"/>
        <v>GUANABARA(LTVL)</v>
      </c>
      <c r="N59" s="9" t="str">
        <f t="shared" si="23"/>
        <v>BERGAMINI(MZ)</v>
      </c>
      <c r="O59" s="9" t="str">
        <f t="shared" si="24"/>
        <v>GUANABARA(LTVL)</v>
      </c>
      <c r="P59" s="9" t="str">
        <f t="shared" si="25"/>
        <v/>
      </c>
      <c r="Q59" s="9" t="str">
        <f t="shared" si="26"/>
        <v/>
      </c>
      <c r="R59" s="9" t="str">
        <f t="shared" si="27"/>
        <v>BERGAMINI(MZ)</v>
      </c>
      <c r="S59" s="9" t="str">
        <f t="shared" si="28"/>
        <v>GUANABARA(LTVL)</v>
      </c>
      <c r="T59" s="9">
        <f t="shared" si="29"/>
        <v>2</v>
      </c>
      <c r="U59" s="9" t="str">
        <f t="shared" si="30"/>
        <v>BERGAMINI(MZ)</v>
      </c>
      <c r="V59" s="9">
        <f t="shared" si="31"/>
        <v>1</v>
      </c>
      <c r="W59" s="9">
        <f t="shared" si="32"/>
        <v>2</v>
      </c>
    </row>
    <row r="60" spans="1:23" x14ac:dyDescent="0.2">
      <c r="A60" s="8">
        <v>29</v>
      </c>
      <c r="B60" s="9" t="str">
        <f>VLOOKUP($A60, Equipes!$A$3:$B$42, 2, FALSE)</f>
        <v>PABLO MARTINS(SPFC)</v>
      </c>
      <c r="C60" s="18">
        <v>3</v>
      </c>
      <c r="D60" s="10" t="s">
        <v>22</v>
      </c>
      <c r="E60" s="18">
        <v>0</v>
      </c>
      <c r="F60" s="11" t="str">
        <f>VLOOKUP($G60, Equipes!$A$3:$B$42, 2, FALSE)</f>
        <v>CHARLEAUX(CEPE)</v>
      </c>
      <c r="G60" s="8">
        <v>28</v>
      </c>
      <c r="H60" s="9">
        <v>6</v>
      </c>
      <c r="I60" s="9" t="s">
        <v>17</v>
      </c>
      <c r="J60" s="9">
        <v>3</v>
      </c>
      <c r="M60" s="9" t="str">
        <f t="shared" si="22"/>
        <v>PABLO MARTINS(SPFC)</v>
      </c>
      <c r="N60" s="9" t="str">
        <f t="shared" si="23"/>
        <v>CHARLEAUX(CEPE)</v>
      </c>
      <c r="O60" s="9" t="str">
        <f t="shared" si="24"/>
        <v>PABLO MARTINS(SPFC)</v>
      </c>
      <c r="P60" s="9" t="str">
        <f t="shared" si="25"/>
        <v/>
      </c>
      <c r="Q60" s="9" t="str">
        <f t="shared" si="26"/>
        <v/>
      </c>
      <c r="R60" s="9" t="str">
        <f t="shared" si="27"/>
        <v>CHARLEAUX(CEPE)</v>
      </c>
      <c r="S60" s="9" t="str">
        <f t="shared" si="28"/>
        <v>PABLO MARTINS(SPFC)</v>
      </c>
      <c r="T60" s="9">
        <f t="shared" si="29"/>
        <v>3</v>
      </c>
      <c r="U60" s="9" t="str">
        <f t="shared" si="30"/>
        <v>CHARLEAUX(CEPE)</v>
      </c>
      <c r="V60" s="9">
        <f t="shared" si="31"/>
        <v>0</v>
      </c>
      <c r="W60" s="9">
        <f t="shared" si="32"/>
        <v>3</v>
      </c>
    </row>
    <row r="61" spans="1:23" x14ac:dyDescent="0.2">
      <c r="A61" s="8">
        <v>26</v>
      </c>
      <c r="B61" s="19" t="str">
        <f>VLOOKUP($A61, Equipes!$A$3:$B$42, 2, FALSE)</f>
        <v>RAFAEL BALIEIRO(LTVL)</v>
      </c>
      <c r="C61" s="18">
        <v>1</v>
      </c>
      <c r="D61" s="20" t="s">
        <v>22</v>
      </c>
      <c r="E61" s="18">
        <v>0</v>
      </c>
      <c r="F61" s="21" t="str">
        <f>VLOOKUP($G61, Equipes!$A$3:$B$42, 2, FALSE)</f>
        <v>DJ IURY(BF)</v>
      </c>
      <c r="G61" s="22">
        <v>27</v>
      </c>
      <c r="H61" s="19">
        <v>19</v>
      </c>
      <c r="I61" s="19" t="s">
        <v>17</v>
      </c>
      <c r="J61" s="19">
        <v>3</v>
      </c>
      <c r="K61" s="19"/>
      <c r="M61" s="9" t="str">
        <f t="shared" si="22"/>
        <v>RAFAEL BALIEIRO(LTVL)</v>
      </c>
      <c r="N61" s="9" t="str">
        <f t="shared" si="23"/>
        <v>DJ IURY(BF)</v>
      </c>
      <c r="O61" s="9" t="str">
        <f t="shared" si="24"/>
        <v>RAFAEL BALIEIRO(LTVL)</v>
      </c>
      <c r="P61" s="9" t="str">
        <f t="shared" si="25"/>
        <v/>
      </c>
      <c r="Q61" s="9" t="str">
        <f t="shared" si="26"/>
        <v/>
      </c>
      <c r="R61" s="9" t="str">
        <f t="shared" si="27"/>
        <v>DJ IURY(BF)</v>
      </c>
      <c r="S61" s="9" t="str">
        <f t="shared" si="28"/>
        <v>RAFAEL BALIEIRO(LTVL)</v>
      </c>
      <c r="T61" s="9">
        <f t="shared" si="29"/>
        <v>1</v>
      </c>
      <c r="U61" s="9" t="str">
        <f t="shared" si="30"/>
        <v>DJ IURY(BF)</v>
      </c>
      <c r="V61" s="9">
        <f t="shared" si="31"/>
        <v>0</v>
      </c>
      <c r="W61" s="9">
        <f t="shared" si="32"/>
        <v>1</v>
      </c>
    </row>
    <row r="62" spans="1:23" x14ac:dyDescent="0.2">
      <c r="A62" s="8">
        <v>33</v>
      </c>
      <c r="B62" s="9" t="str">
        <f>VLOOKUP($A62, Equipes!$A$3:$B$42, 2, FALSE)</f>
        <v>LÉO CARIOCA(MZ)</v>
      </c>
      <c r="C62" s="18">
        <v>1</v>
      </c>
      <c r="D62" s="10" t="s">
        <v>22</v>
      </c>
      <c r="E62" s="18">
        <v>1</v>
      </c>
      <c r="F62" s="11" t="str">
        <f>VLOOKUP($G62, Equipes!$A$3:$B$42, 2, FALSE)</f>
        <v>RODRIGO MORO(SCCP)</v>
      </c>
      <c r="G62" s="8">
        <v>39</v>
      </c>
      <c r="H62" s="9">
        <v>18</v>
      </c>
      <c r="I62" s="9" t="s">
        <v>16</v>
      </c>
      <c r="J62" s="9">
        <v>3</v>
      </c>
      <c r="M62" s="9" t="str">
        <f t="shared" si="22"/>
        <v>LÉO CARIOCA(MZ)</v>
      </c>
      <c r="N62" s="9" t="str">
        <f t="shared" si="23"/>
        <v>RODRIGO MORO(SCCP)</v>
      </c>
      <c r="O62" s="9" t="str">
        <f t="shared" si="24"/>
        <v/>
      </c>
      <c r="P62" s="9" t="str">
        <f t="shared" si="25"/>
        <v>LÉO CARIOCA(MZ)</v>
      </c>
      <c r="Q62" s="9" t="str">
        <f t="shared" si="26"/>
        <v>RODRIGO MORO(SCCP)</v>
      </c>
      <c r="R62" s="9" t="str">
        <f t="shared" si="27"/>
        <v/>
      </c>
      <c r="S62" s="9" t="str">
        <f t="shared" si="28"/>
        <v>LÉO CARIOCA(MZ)</v>
      </c>
      <c r="T62" s="9">
        <f t="shared" si="29"/>
        <v>1</v>
      </c>
      <c r="U62" s="9" t="str">
        <f t="shared" si="30"/>
        <v>RODRIGO MORO(SCCP)</v>
      </c>
      <c r="V62" s="9">
        <f t="shared" si="31"/>
        <v>1</v>
      </c>
      <c r="W62" s="9">
        <f t="shared" si="32"/>
        <v>1</v>
      </c>
    </row>
    <row r="63" spans="1:23" x14ac:dyDescent="0.2">
      <c r="A63" s="8">
        <v>38</v>
      </c>
      <c r="B63" s="19" t="str">
        <f>VLOOKUP($A63, Equipes!$A$3:$B$42, 2, FALSE)</f>
        <v>PAULO ROBERTO(SPFC)</v>
      </c>
      <c r="C63" s="18">
        <v>1</v>
      </c>
      <c r="D63" s="20" t="s">
        <v>22</v>
      </c>
      <c r="E63" s="18">
        <v>0</v>
      </c>
      <c r="F63" s="21" t="str">
        <f>VLOOKUP($G63, Equipes!$A$3:$B$42, 2, FALSE)</f>
        <v>PEPE 2004(CEPE)</v>
      </c>
      <c r="G63" s="22">
        <v>40</v>
      </c>
      <c r="H63" s="19">
        <v>10</v>
      </c>
      <c r="I63" s="19" t="s">
        <v>16</v>
      </c>
      <c r="J63" s="19">
        <v>3</v>
      </c>
      <c r="K63" s="19"/>
      <c r="M63" s="9" t="str">
        <f t="shared" si="22"/>
        <v>PAULO ROBERTO(SPFC)</v>
      </c>
      <c r="N63" s="9" t="str">
        <f t="shared" si="23"/>
        <v>PEPE 2004(CEPE)</v>
      </c>
      <c r="O63" s="9" t="str">
        <f t="shared" si="24"/>
        <v>PAULO ROBERTO(SPFC)</v>
      </c>
      <c r="P63" s="9" t="str">
        <f t="shared" si="25"/>
        <v/>
      </c>
      <c r="Q63" s="9" t="str">
        <f t="shared" si="26"/>
        <v/>
      </c>
      <c r="R63" s="9" t="str">
        <f t="shared" si="27"/>
        <v>PEPE 2004(CEPE)</v>
      </c>
      <c r="S63" s="9" t="str">
        <f t="shared" si="28"/>
        <v>PAULO ROBERTO(SPFC)</v>
      </c>
      <c r="T63" s="9">
        <f t="shared" si="29"/>
        <v>1</v>
      </c>
      <c r="U63" s="9" t="str">
        <f t="shared" si="30"/>
        <v>PEPE 2004(CEPE)</v>
      </c>
      <c r="V63" s="9">
        <f t="shared" si="31"/>
        <v>0</v>
      </c>
      <c r="W63" s="9">
        <f t="shared" si="32"/>
        <v>1</v>
      </c>
    </row>
    <row r="64" spans="1:23" x14ac:dyDescent="0.2">
      <c r="A64" s="8">
        <v>37</v>
      </c>
      <c r="B64" s="9" t="str">
        <f>VLOOKUP($A64, Equipes!$A$3:$B$42, 2, FALSE)</f>
        <v>BRAGHETTO(MZ)</v>
      </c>
      <c r="C64" s="18">
        <v>0</v>
      </c>
      <c r="D64" s="10" t="s">
        <v>22</v>
      </c>
      <c r="E64" s="18">
        <v>0</v>
      </c>
      <c r="F64" s="11" t="str">
        <f>VLOOKUP($G64, Equipes!$A$3:$B$42, 2, FALSE)</f>
        <v>RICARDO RAMALHO(BF)</v>
      </c>
      <c r="G64" s="8">
        <v>36</v>
      </c>
      <c r="H64" s="9">
        <v>7</v>
      </c>
      <c r="I64" s="9" t="s">
        <v>16</v>
      </c>
      <c r="J64" s="9">
        <v>3</v>
      </c>
      <c r="M64" s="9" t="str">
        <f t="shared" si="22"/>
        <v>BRAGHETTO(MZ)</v>
      </c>
      <c r="N64" s="9" t="str">
        <f t="shared" si="23"/>
        <v>RICARDO RAMALHO(BF)</v>
      </c>
      <c r="O64" s="9" t="str">
        <f t="shared" si="24"/>
        <v/>
      </c>
      <c r="P64" s="9" t="str">
        <f t="shared" si="25"/>
        <v>BRAGHETTO(MZ)</v>
      </c>
      <c r="Q64" s="9" t="str">
        <f t="shared" si="26"/>
        <v>RICARDO RAMALHO(BF)</v>
      </c>
      <c r="R64" s="9" t="str">
        <f t="shared" si="27"/>
        <v/>
      </c>
      <c r="S64" s="9" t="str">
        <f t="shared" si="28"/>
        <v>BRAGHETTO(MZ)</v>
      </c>
      <c r="T64" s="9">
        <f t="shared" si="29"/>
        <v>0</v>
      </c>
      <c r="U64" s="9" t="str">
        <f t="shared" si="30"/>
        <v>RICARDO RAMALHO(BF)</v>
      </c>
      <c r="V64" s="9">
        <f t="shared" si="31"/>
        <v>0</v>
      </c>
      <c r="W64" s="9">
        <f t="shared" si="32"/>
        <v>0</v>
      </c>
    </row>
    <row r="65" spans="1:23" x14ac:dyDescent="0.2">
      <c r="A65" s="8">
        <v>34</v>
      </c>
      <c r="B65" s="19" t="str">
        <f>VLOOKUP($A65, Equipes!$A$3:$B$42, 2, FALSE)</f>
        <v>ZÉ LUIZ(SPFC)</v>
      </c>
      <c r="C65" s="18">
        <v>2</v>
      </c>
      <c r="D65" s="20" t="s">
        <v>22</v>
      </c>
      <c r="E65" s="18">
        <v>2</v>
      </c>
      <c r="F65" s="21" t="str">
        <f>VLOOKUP($G65, Equipes!$A$3:$B$42, 2, FALSE)</f>
        <v>TUPINAMBÁ(LTVL)</v>
      </c>
      <c r="G65" s="22">
        <v>35</v>
      </c>
      <c r="H65" s="19">
        <v>8</v>
      </c>
      <c r="I65" s="19" t="s">
        <v>16</v>
      </c>
      <c r="J65" s="19">
        <v>3</v>
      </c>
      <c r="K65" s="19"/>
      <c r="M65" s="9" t="str">
        <f t="shared" si="22"/>
        <v>ZÉ LUIZ(SPFC)</v>
      </c>
      <c r="N65" s="9" t="str">
        <f t="shared" si="23"/>
        <v>TUPINAMBÁ(LTVL)</v>
      </c>
      <c r="O65" s="9" t="str">
        <f t="shared" si="24"/>
        <v/>
      </c>
      <c r="P65" s="9" t="str">
        <f t="shared" si="25"/>
        <v>ZÉ LUIZ(SPFC)</v>
      </c>
      <c r="Q65" s="9" t="str">
        <f t="shared" si="26"/>
        <v>TUPINAMBÁ(LTVL)</v>
      </c>
      <c r="R65" s="9" t="str">
        <f t="shared" si="27"/>
        <v/>
      </c>
      <c r="S65" s="9" t="str">
        <f t="shared" si="28"/>
        <v>ZÉ LUIZ(SPFC)</v>
      </c>
      <c r="T65" s="9">
        <f t="shared" si="29"/>
        <v>2</v>
      </c>
      <c r="U65" s="9" t="str">
        <f t="shared" si="30"/>
        <v>TUPINAMBÁ(LTVL)</v>
      </c>
      <c r="V65" s="9">
        <f t="shared" si="31"/>
        <v>2</v>
      </c>
      <c r="W65" s="9">
        <f t="shared" si="32"/>
        <v>2</v>
      </c>
    </row>
    <row r="66" spans="1:23" x14ac:dyDescent="0.2">
      <c r="B66" s="13" t="s">
        <v>28</v>
      </c>
      <c r="C66" s="14"/>
      <c r="D66" s="14"/>
      <c r="E66" s="14"/>
      <c r="F66" s="15"/>
      <c r="G66" s="16"/>
      <c r="H66" s="13" t="s">
        <v>11</v>
      </c>
      <c r="I66" s="13" t="s">
        <v>12</v>
      </c>
      <c r="J66" s="13" t="s">
        <v>13</v>
      </c>
      <c r="K66" s="17">
        <f>K3 + TIME(0,60,0)</f>
        <v>45340.555555555555</v>
      </c>
      <c r="M66" s="12" t="s">
        <v>14</v>
      </c>
      <c r="N66" s="12" t="s">
        <v>14</v>
      </c>
      <c r="O66" s="12" t="s">
        <v>15</v>
      </c>
      <c r="P66" s="12" t="s">
        <v>16</v>
      </c>
      <c r="Q66" s="12" t="s">
        <v>16</v>
      </c>
      <c r="R66" s="12" t="s">
        <v>17</v>
      </c>
      <c r="S66" s="12" t="s">
        <v>18</v>
      </c>
      <c r="T66" s="12" t="s">
        <v>19</v>
      </c>
      <c r="U66" s="12" t="s">
        <v>15</v>
      </c>
      <c r="V66" s="12" t="s">
        <v>20</v>
      </c>
      <c r="W66" s="12" t="s">
        <v>21</v>
      </c>
    </row>
    <row r="67" spans="1:23" x14ac:dyDescent="0.2">
      <c r="A67" s="8">
        <v>1</v>
      </c>
      <c r="B67" s="19" t="str">
        <f>VLOOKUP($A67, Equipes!$A$3:$B$42, 2, FALSE)</f>
        <v>RUAS(CEPE)</v>
      </c>
      <c r="C67" s="18">
        <v>1</v>
      </c>
      <c r="D67" s="20" t="s">
        <v>22</v>
      </c>
      <c r="E67" s="18">
        <v>0</v>
      </c>
      <c r="F67" s="21" t="str">
        <f>VLOOKUP($G67, Equipes!$A$3:$B$42, 2, FALSE)</f>
        <v>CORTEZ(MZ)</v>
      </c>
      <c r="G67" s="22">
        <v>8</v>
      </c>
      <c r="H67" s="19">
        <v>19</v>
      </c>
      <c r="I67" s="19" t="s">
        <v>23</v>
      </c>
      <c r="J67" s="19">
        <v>4</v>
      </c>
      <c r="K67" s="19"/>
      <c r="M67" s="9" t="str">
        <f t="shared" ref="M67:M86" si="33">IF(OR(C67 = "",E67 = ""), "", B67)</f>
        <v>RUAS(CEPE)</v>
      </c>
      <c r="N67" s="9" t="str">
        <f t="shared" ref="N67:N86" si="34">IF(OR(C67 = "",E67 = ""), "", F67)</f>
        <v>CORTEZ(MZ)</v>
      </c>
      <c r="O67" s="9" t="str">
        <f t="shared" ref="O67:O86" si="35">IF(C67&gt;E67,B67, IF(E67&gt;C67,F67, ""))</f>
        <v>RUAS(CEPE)</v>
      </c>
      <c r="P67" s="9" t="str">
        <f t="shared" ref="P67:P86" si="36">IF(OR(C67 = "",E67 = ""), "", IF(C67=E67,B67, ""))</f>
        <v/>
      </c>
      <c r="Q67" s="9" t="str">
        <f t="shared" ref="Q67:Q86" si="37">IF(OR(C67 = "",E67 = ""), "", IF(C67=E67,F67, ""))</f>
        <v/>
      </c>
      <c r="R67" s="9" t="str">
        <f t="shared" ref="R67:R86" si="38">IF(C67&gt;E67,F67, IF(E67&gt;C67,B67, ""))</f>
        <v>CORTEZ(MZ)</v>
      </c>
      <c r="S67" s="9" t="str">
        <f t="shared" ref="S67:S86" si="39">IF(OR(C67 = "",E67 = ""), "", B67)</f>
        <v>RUAS(CEPE)</v>
      </c>
      <c r="T67" s="9">
        <f t="shared" ref="T67:T86" si="40">IF(C67 = "", "", C67)</f>
        <v>1</v>
      </c>
      <c r="U67" s="9" t="str">
        <f t="shared" ref="U67:U86" si="41">IF(OR(C67 = "",E67 = ""), "", F67)</f>
        <v>CORTEZ(MZ)</v>
      </c>
      <c r="V67" s="9">
        <f t="shared" ref="V67:V86" si="42">IF(E67 = "", "", E67)</f>
        <v>0</v>
      </c>
      <c r="W67" s="9">
        <f t="shared" ref="W67:W86" si="43">IF(C67 = "", "", C67)</f>
        <v>1</v>
      </c>
    </row>
    <row r="68" spans="1:23" x14ac:dyDescent="0.2">
      <c r="A68" s="8">
        <v>7</v>
      </c>
      <c r="B68" s="9" t="str">
        <f>VLOOKUP($A68, Equipes!$A$3:$B$42, 2, FALSE)</f>
        <v>AURÉLIO(BF)</v>
      </c>
      <c r="C68" s="18">
        <v>1</v>
      </c>
      <c r="D68" s="10" t="s">
        <v>22</v>
      </c>
      <c r="E68" s="18">
        <v>2</v>
      </c>
      <c r="F68" s="11" t="str">
        <f>VLOOKUP($G68, Equipes!$A$3:$B$42, 2, FALSE)</f>
        <v>PROFESSOR(LTVL)</v>
      </c>
      <c r="G68" s="8">
        <v>4</v>
      </c>
      <c r="H68" s="9">
        <v>4</v>
      </c>
      <c r="I68" s="9" t="s">
        <v>23</v>
      </c>
      <c r="J68" s="9">
        <v>4</v>
      </c>
      <c r="M68" s="9" t="str">
        <f t="shared" si="33"/>
        <v>AURÉLIO(BF)</v>
      </c>
      <c r="N68" s="9" t="str">
        <f t="shared" si="34"/>
        <v>PROFESSOR(LTVL)</v>
      </c>
      <c r="O68" s="9" t="str">
        <f t="shared" si="35"/>
        <v>PROFESSOR(LTVL)</v>
      </c>
      <c r="P68" s="9" t="str">
        <f t="shared" si="36"/>
        <v/>
      </c>
      <c r="Q68" s="9" t="str">
        <f t="shared" si="37"/>
        <v/>
      </c>
      <c r="R68" s="9" t="str">
        <f t="shared" si="38"/>
        <v>AURÉLIO(BF)</v>
      </c>
      <c r="S68" s="9" t="str">
        <f t="shared" si="39"/>
        <v>AURÉLIO(BF)</v>
      </c>
      <c r="T68" s="9">
        <f t="shared" si="40"/>
        <v>1</v>
      </c>
      <c r="U68" s="9" t="str">
        <f t="shared" si="41"/>
        <v>PROFESSOR(LTVL)</v>
      </c>
      <c r="V68" s="9">
        <f t="shared" si="42"/>
        <v>2</v>
      </c>
      <c r="W68" s="9">
        <f t="shared" si="43"/>
        <v>1</v>
      </c>
    </row>
    <row r="69" spans="1:23" x14ac:dyDescent="0.2">
      <c r="A69" s="8">
        <v>6</v>
      </c>
      <c r="B69" s="19" t="str">
        <f>VLOOKUP($A69, Equipes!$A$3:$B$42, 2, FALSE)</f>
        <v>COELHO(SCCP)</v>
      </c>
      <c r="C69" s="18">
        <v>2</v>
      </c>
      <c r="D69" s="20" t="s">
        <v>22</v>
      </c>
      <c r="E69" s="18">
        <v>2</v>
      </c>
      <c r="F69" s="21" t="str">
        <f>VLOOKUP($G69, Equipes!$A$3:$B$42, 2, FALSE)</f>
        <v>SALLYS(SPFC)</v>
      </c>
      <c r="G69" s="22">
        <v>3</v>
      </c>
      <c r="H69" s="19">
        <v>1</v>
      </c>
      <c r="I69" s="19" t="s">
        <v>23</v>
      </c>
      <c r="J69" s="19">
        <v>4</v>
      </c>
      <c r="K69" s="19"/>
      <c r="M69" s="9" t="str">
        <f t="shared" si="33"/>
        <v>COELHO(SCCP)</v>
      </c>
      <c r="N69" s="9" t="str">
        <f t="shared" si="34"/>
        <v>SALLYS(SPFC)</v>
      </c>
      <c r="O69" s="9" t="str">
        <f t="shared" si="35"/>
        <v/>
      </c>
      <c r="P69" s="9" t="str">
        <f t="shared" si="36"/>
        <v>COELHO(SCCP)</v>
      </c>
      <c r="Q69" s="9" t="str">
        <f t="shared" si="37"/>
        <v>SALLYS(SPFC)</v>
      </c>
      <c r="R69" s="9" t="str">
        <f t="shared" si="38"/>
        <v/>
      </c>
      <c r="S69" s="9" t="str">
        <f t="shared" si="39"/>
        <v>COELHO(SCCP)</v>
      </c>
      <c r="T69" s="9">
        <f t="shared" si="40"/>
        <v>2</v>
      </c>
      <c r="U69" s="9" t="str">
        <f t="shared" si="41"/>
        <v>SALLYS(SPFC)</v>
      </c>
      <c r="V69" s="9">
        <f t="shared" si="42"/>
        <v>2</v>
      </c>
      <c r="W69" s="9">
        <f t="shared" si="43"/>
        <v>2</v>
      </c>
    </row>
    <row r="70" spans="1:23" x14ac:dyDescent="0.2">
      <c r="A70" s="8">
        <v>5</v>
      </c>
      <c r="B70" s="9" t="str">
        <f>VLOOKUP($A70, Equipes!$A$3:$B$42, 2, FALSE)</f>
        <v>CLÉO JR (CEPE)</v>
      </c>
      <c r="C70" s="18">
        <v>2</v>
      </c>
      <c r="D70" s="10" t="s">
        <v>22</v>
      </c>
      <c r="E70" s="18">
        <v>3</v>
      </c>
      <c r="F70" s="11" t="str">
        <f>VLOOKUP($G70, Equipes!$A$3:$B$42, 2, FALSE)</f>
        <v>MARCOS WILLOW(SCCP)</v>
      </c>
      <c r="G70" s="8">
        <v>2</v>
      </c>
      <c r="H70" s="9">
        <v>7</v>
      </c>
      <c r="I70" s="9" t="s">
        <v>23</v>
      </c>
      <c r="J70" s="9">
        <v>4</v>
      </c>
      <c r="M70" s="9" t="str">
        <f t="shared" si="33"/>
        <v>CLÉO JR (CEPE)</v>
      </c>
      <c r="N70" s="9" t="str">
        <f t="shared" si="34"/>
        <v>MARCOS WILLOW(SCCP)</v>
      </c>
      <c r="O70" s="9" t="str">
        <f t="shared" si="35"/>
        <v>MARCOS WILLOW(SCCP)</v>
      </c>
      <c r="P70" s="9" t="str">
        <f t="shared" si="36"/>
        <v/>
      </c>
      <c r="Q70" s="9" t="str">
        <f t="shared" si="37"/>
        <v/>
      </c>
      <c r="R70" s="9" t="str">
        <f t="shared" si="38"/>
        <v>CLÉO JR (CEPE)</v>
      </c>
      <c r="S70" s="9" t="str">
        <f t="shared" si="39"/>
        <v>CLÉO JR (CEPE)</v>
      </c>
      <c r="T70" s="9">
        <f t="shared" si="40"/>
        <v>2</v>
      </c>
      <c r="U70" s="9" t="str">
        <f t="shared" si="41"/>
        <v>MARCOS WILLOW(SCCP)</v>
      </c>
      <c r="V70" s="9">
        <f t="shared" si="42"/>
        <v>3</v>
      </c>
      <c r="W70" s="9">
        <f t="shared" si="43"/>
        <v>2</v>
      </c>
    </row>
    <row r="71" spans="1:23" x14ac:dyDescent="0.2">
      <c r="A71" s="8">
        <v>9</v>
      </c>
      <c r="B71" s="19" t="str">
        <f>VLOOKUP($A71, Equipes!$A$3:$B$42, 2, FALSE)</f>
        <v>TABAJARA(CEPE)</v>
      </c>
      <c r="C71" s="18">
        <v>2</v>
      </c>
      <c r="D71" s="20" t="s">
        <v>22</v>
      </c>
      <c r="E71" s="18">
        <v>0</v>
      </c>
      <c r="F71" s="21" t="str">
        <f>VLOOKUP($G71, Equipes!$A$3:$B$42, 2, FALSE)</f>
        <v>LUIZ COELHO(MZ)</v>
      </c>
      <c r="G71" s="22">
        <v>16</v>
      </c>
      <c r="H71" s="19">
        <v>2</v>
      </c>
      <c r="I71" s="19" t="s">
        <v>24</v>
      </c>
      <c r="J71" s="19">
        <v>4</v>
      </c>
      <c r="K71" s="19"/>
      <c r="M71" s="9" t="str">
        <f t="shared" si="33"/>
        <v>TABAJARA(CEPE)</v>
      </c>
      <c r="N71" s="9" t="str">
        <f t="shared" si="34"/>
        <v>LUIZ COELHO(MZ)</v>
      </c>
      <c r="O71" s="9" t="str">
        <f t="shared" si="35"/>
        <v>TABAJARA(CEPE)</v>
      </c>
      <c r="P71" s="9" t="str">
        <f t="shared" si="36"/>
        <v/>
      </c>
      <c r="Q71" s="9" t="str">
        <f t="shared" si="37"/>
        <v/>
      </c>
      <c r="R71" s="9" t="str">
        <f t="shared" si="38"/>
        <v>LUIZ COELHO(MZ)</v>
      </c>
      <c r="S71" s="9" t="str">
        <f t="shared" si="39"/>
        <v>TABAJARA(CEPE)</v>
      </c>
      <c r="T71" s="9">
        <f t="shared" si="40"/>
        <v>2</v>
      </c>
      <c r="U71" s="9" t="str">
        <f t="shared" si="41"/>
        <v>LUIZ COELHO(MZ)</v>
      </c>
      <c r="V71" s="9">
        <f t="shared" si="42"/>
        <v>0</v>
      </c>
      <c r="W71" s="9">
        <f t="shared" si="43"/>
        <v>2</v>
      </c>
    </row>
    <row r="72" spans="1:23" x14ac:dyDescent="0.2">
      <c r="A72" s="8">
        <v>15</v>
      </c>
      <c r="B72" s="9" t="str">
        <f>VLOOKUP($A72, Equipes!$A$3:$B$42, 2, FALSE)</f>
        <v>AUGUSTO(BF)</v>
      </c>
      <c r="C72" s="18">
        <v>1</v>
      </c>
      <c r="D72" s="10" t="s">
        <v>22</v>
      </c>
      <c r="E72" s="18">
        <v>0</v>
      </c>
      <c r="F72" s="11" t="str">
        <f>VLOOKUP($G72, Equipes!$A$3:$B$42, 2, FALSE)</f>
        <v>MARIELCIO(LTVL)</v>
      </c>
      <c r="G72" s="8">
        <v>12</v>
      </c>
      <c r="H72" s="9">
        <v>8</v>
      </c>
      <c r="I72" s="9" t="s">
        <v>24</v>
      </c>
      <c r="J72" s="9">
        <v>4</v>
      </c>
      <c r="M72" s="9" t="str">
        <f t="shared" si="33"/>
        <v>AUGUSTO(BF)</v>
      </c>
      <c r="N72" s="9" t="str">
        <f t="shared" si="34"/>
        <v>MARIELCIO(LTVL)</v>
      </c>
      <c r="O72" s="9" t="str">
        <f t="shared" si="35"/>
        <v>AUGUSTO(BF)</v>
      </c>
      <c r="P72" s="9" t="str">
        <f t="shared" si="36"/>
        <v/>
      </c>
      <c r="Q72" s="9" t="str">
        <f t="shared" si="37"/>
        <v/>
      </c>
      <c r="R72" s="9" t="str">
        <f t="shared" si="38"/>
        <v>MARIELCIO(LTVL)</v>
      </c>
      <c r="S72" s="9" t="str">
        <f t="shared" si="39"/>
        <v>AUGUSTO(BF)</v>
      </c>
      <c r="T72" s="9">
        <f t="shared" si="40"/>
        <v>1</v>
      </c>
      <c r="U72" s="9" t="str">
        <f t="shared" si="41"/>
        <v>MARIELCIO(LTVL)</v>
      </c>
      <c r="V72" s="9">
        <f t="shared" si="42"/>
        <v>0</v>
      </c>
      <c r="W72" s="9">
        <f t="shared" si="43"/>
        <v>1</v>
      </c>
    </row>
    <row r="73" spans="1:23" x14ac:dyDescent="0.2">
      <c r="A73" s="8">
        <v>14</v>
      </c>
      <c r="B73" s="19" t="str">
        <f>VLOOKUP($A73, Equipes!$A$3:$B$42, 2, FALSE)</f>
        <v>VINICIUS ROLIM(SCCP)</v>
      </c>
      <c r="C73" s="18">
        <v>2</v>
      </c>
      <c r="D73" s="20" t="s">
        <v>22</v>
      </c>
      <c r="E73" s="18">
        <v>0</v>
      </c>
      <c r="F73" s="21" t="str">
        <f>VLOOKUP($G73, Equipes!$A$3:$B$42, 2, FALSE)</f>
        <v>ELSIO(SPFC)</v>
      </c>
      <c r="G73" s="22">
        <v>11</v>
      </c>
      <c r="H73" s="19">
        <v>3</v>
      </c>
      <c r="I73" s="19" t="s">
        <v>24</v>
      </c>
      <c r="J73" s="19">
        <v>4</v>
      </c>
      <c r="K73" s="19"/>
      <c r="M73" s="9" t="str">
        <f t="shared" si="33"/>
        <v>VINICIUS ROLIM(SCCP)</v>
      </c>
      <c r="N73" s="9" t="str">
        <f t="shared" si="34"/>
        <v>ELSIO(SPFC)</v>
      </c>
      <c r="O73" s="9" t="str">
        <f t="shared" si="35"/>
        <v>VINICIUS ROLIM(SCCP)</v>
      </c>
      <c r="P73" s="9" t="str">
        <f t="shared" si="36"/>
        <v/>
      </c>
      <c r="Q73" s="9" t="str">
        <f t="shared" si="37"/>
        <v/>
      </c>
      <c r="R73" s="9" t="str">
        <f t="shared" si="38"/>
        <v>ELSIO(SPFC)</v>
      </c>
      <c r="S73" s="9" t="str">
        <f t="shared" si="39"/>
        <v>VINICIUS ROLIM(SCCP)</v>
      </c>
      <c r="T73" s="9">
        <f t="shared" si="40"/>
        <v>2</v>
      </c>
      <c r="U73" s="9" t="str">
        <f t="shared" si="41"/>
        <v>ELSIO(SPFC)</v>
      </c>
      <c r="V73" s="9">
        <f t="shared" si="42"/>
        <v>0</v>
      </c>
      <c r="W73" s="9">
        <f t="shared" si="43"/>
        <v>2</v>
      </c>
    </row>
    <row r="74" spans="1:23" x14ac:dyDescent="0.2">
      <c r="A74" s="8">
        <v>13</v>
      </c>
      <c r="B74" s="9" t="str">
        <f>VLOOKUP($A74, Equipes!$A$3:$B$42, 2, FALSE)</f>
        <v>DIOGO(CEPE)</v>
      </c>
      <c r="C74" s="18">
        <v>1</v>
      </c>
      <c r="D74" s="10" t="s">
        <v>22</v>
      </c>
      <c r="E74" s="18">
        <v>1</v>
      </c>
      <c r="F74" s="11" t="str">
        <f>VLOOKUP($G74, Equipes!$A$3:$B$42, 2, FALSE)</f>
        <v>REGINALDO(SCCP)</v>
      </c>
      <c r="G74" s="8">
        <v>10</v>
      </c>
      <c r="H74" s="9">
        <v>6</v>
      </c>
      <c r="I74" s="9" t="s">
        <v>24</v>
      </c>
      <c r="J74" s="9">
        <v>4</v>
      </c>
      <c r="M74" s="9" t="str">
        <f t="shared" si="33"/>
        <v>DIOGO(CEPE)</v>
      </c>
      <c r="N74" s="9" t="str">
        <f t="shared" si="34"/>
        <v>REGINALDO(SCCP)</v>
      </c>
      <c r="O74" s="9" t="str">
        <f t="shared" si="35"/>
        <v/>
      </c>
      <c r="P74" s="9" t="str">
        <f t="shared" si="36"/>
        <v>DIOGO(CEPE)</v>
      </c>
      <c r="Q74" s="9" t="str">
        <f t="shared" si="37"/>
        <v>REGINALDO(SCCP)</v>
      </c>
      <c r="R74" s="9" t="str">
        <f t="shared" si="38"/>
        <v/>
      </c>
      <c r="S74" s="9" t="str">
        <f t="shared" si="39"/>
        <v>DIOGO(CEPE)</v>
      </c>
      <c r="T74" s="9">
        <f t="shared" si="40"/>
        <v>1</v>
      </c>
      <c r="U74" s="9" t="str">
        <f t="shared" si="41"/>
        <v>REGINALDO(SCCP)</v>
      </c>
      <c r="V74" s="9">
        <f t="shared" si="42"/>
        <v>1</v>
      </c>
      <c r="W74" s="9">
        <f t="shared" si="43"/>
        <v>1</v>
      </c>
    </row>
    <row r="75" spans="1:23" x14ac:dyDescent="0.2">
      <c r="A75" s="8">
        <v>17</v>
      </c>
      <c r="B75" s="19" t="str">
        <f>VLOOKUP($A75, Equipes!$A$3:$B$42, 2, FALSE)</f>
        <v>AFONSO(CEPE)</v>
      </c>
      <c r="C75" s="18">
        <v>0</v>
      </c>
      <c r="D75" s="20" t="s">
        <v>22</v>
      </c>
      <c r="E75" s="18">
        <v>2</v>
      </c>
      <c r="F75" s="21" t="str">
        <f>VLOOKUP($G75, Equipes!$A$3:$B$42, 2, FALSE)</f>
        <v>MARIO MILI(MZ)</v>
      </c>
      <c r="G75" s="22">
        <v>24</v>
      </c>
      <c r="H75" s="19">
        <v>17</v>
      </c>
      <c r="I75" s="19" t="s">
        <v>25</v>
      </c>
      <c r="J75" s="19">
        <v>4</v>
      </c>
      <c r="K75" s="19"/>
      <c r="M75" s="9" t="str">
        <f t="shared" si="33"/>
        <v>AFONSO(CEPE)</v>
      </c>
      <c r="N75" s="9" t="str">
        <f t="shared" si="34"/>
        <v>MARIO MILI(MZ)</v>
      </c>
      <c r="O75" s="9" t="str">
        <f t="shared" si="35"/>
        <v>MARIO MILI(MZ)</v>
      </c>
      <c r="P75" s="9" t="str">
        <f t="shared" si="36"/>
        <v/>
      </c>
      <c r="Q75" s="9" t="str">
        <f t="shared" si="37"/>
        <v/>
      </c>
      <c r="R75" s="9" t="str">
        <f t="shared" si="38"/>
        <v>AFONSO(CEPE)</v>
      </c>
      <c r="S75" s="9" t="str">
        <f t="shared" si="39"/>
        <v>AFONSO(CEPE)</v>
      </c>
      <c r="T75" s="9">
        <f t="shared" si="40"/>
        <v>0</v>
      </c>
      <c r="U75" s="9" t="str">
        <f t="shared" si="41"/>
        <v>MARIO MILI(MZ)</v>
      </c>
      <c r="V75" s="9">
        <f t="shared" si="42"/>
        <v>2</v>
      </c>
      <c r="W75" s="9">
        <f t="shared" si="43"/>
        <v>0</v>
      </c>
    </row>
    <row r="76" spans="1:23" x14ac:dyDescent="0.2">
      <c r="A76" s="8">
        <v>23</v>
      </c>
      <c r="B76" s="9" t="str">
        <f>VLOOKUP($A76, Equipes!$A$3:$B$42, 2, FALSE)</f>
        <v>SÉRGIO BARREIRA(SCCP)</v>
      </c>
      <c r="C76" s="18">
        <v>0</v>
      </c>
      <c r="D76" s="10" t="s">
        <v>22</v>
      </c>
      <c r="E76" s="18">
        <v>1</v>
      </c>
      <c r="F76" s="11" t="str">
        <f>VLOOKUP($G76, Equipes!$A$3:$B$42, 2, FALSE)</f>
        <v>MARCOS MATTOS(BF)</v>
      </c>
      <c r="G76" s="8">
        <v>20</v>
      </c>
      <c r="H76" s="9">
        <v>5</v>
      </c>
      <c r="I76" s="9" t="s">
        <v>25</v>
      </c>
      <c r="J76" s="9">
        <v>4</v>
      </c>
      <c r="M76" s="9" t="str">
        <f t="shared" si="33"/>
        <v>SÉRGIO BARREIRA(SCCP)</v>
      </c>
      <c r="N76" s="9" t="str">
        <f t="shared" si="34"/>
        <v>MARCOS MATTOS(BF)</v>
      </c>
      <c r="O76" s="9" t="str">
        <f t="shared" si="35"/>
        <v>MARCOS MATTOS(BF)</v>
      </c>
      <c r="P76" s="9" t="str">
        <f t="shared" si="36"/>
        <v/>
      </c>
      <c r="Q76" s="9" t="str">
        <f t="shared" si="37"/>
        <v/>
      </c>
      <c r="R76" s="9" t="str">
        <f t="shared" si="38"/>
        <v>SÉRGIO BARREIRA(SCCP)</v>
      </c>
      <c r="S76" s="9" t="str">
        <f t="shared" si="39"/>
        <v>SÉRGIO BARREIRA(SCCP)</v>
      </c>
      <c r="T76" s="9">
        <f t="shared" si="40"/>
        <v>0</v>
      </c>
      <c r="U76" s="9" t="str">
        <f t="shared" si="41"/>
        <v>MARCOS MATTOS(BF)</v>
      </c>
      <c r="V76" s="9">
        <f t="shared" si="42"/>
        <v>1</v>
      </c>
      <c r="W76" s="9">
        <f t="shared" si="43"/>
        <v>0</v>
      </c>
    </row>
    <row r="77" spans="1:23" x14ac:dyDescent="0.2">
      <c r="A77" s="8">
        <v>22</v>
      </c>
      <c r="B77" s="19" t="str">
        <f>VLOOKUP($A77, Equipes!$A$3:$B$42, 2, FALSE)</f>
        <v>ELCIO(LTVL)</v>
      </c>
      <c r="C77" s="18">
        <v>2</v>
      </c>
      <c r="D77" s="20" t="s">
        <v>22</v>
      </c>
      <c r="E77" s="18">
        <v>2</v>
      </c>
      <c r="F77" s="21" t="str">
        <f>VLOOKUP($G77, Equipes!$A$3:$B$42, 2, FALSE)</f>
        <v>WAGNER(SPFC)</v>
      </c>
      <c r="G77" s="22">
        <v>19</v>
      </c>
      <c r="H77" s="19">
        <v>12</v>
      </c>
      <c r="I77" s="19" t="s">
        <v>25</v>
      </c>
      <c r="J77" s="19">
        <v>4</v>
      </c>
      <c r="K77" s="19"/>
      <c r="M77" s="9" t="str">
        <f t="shared" si="33"/>
        <v>ELCIO(LTVL)</v>
      </c>
      <c r="N77" s="9" t="str">
        <f t="shared" si="34"/>
        <v>WAGNER(SPFC)</v>
      </c>
      <c r="O77" s="9" t="str">
        <f t="shared" si="35"/>
        <v/>
      </c>
      <c r="P77" s="9" t="str">
        <f t="shared" si="36"/>
        <v>ELCIO(LTVL)</v>
      </c>
      <c r="Q77" s="9" t="str">
        <f t="shared" si="37"/>
        <v>WAGNER(SPFC)</v>
      </c>
      <c r="R77" s="9" t="str">
        <f t="shared" si="38"/>
        <v/>
      </c>
      <c r="S77" s="9" t="str">
        <f t="shared" si="39"/>
        <v>ELCIO(LTVL)</v>
      </c>
      <c r="T77" s="9">
        <f t="shared" si="40"/>
        <v>2</v>
      </c>
      <c r="U77" s="9" t="str">
        <f t="shared" si="41"/>
        <v>WAGNER(SPFC)</v>
      </c>
      <c r="V77" s="9">
        <f t="shared" si="42"/>
        <v>2</v>
      </c>
      <c r="W77" s="9">
        <f t="shared" si="43"/>
        <v>2</v>
      </c>
    </row>
    <row r="78" spans="1:23" x14ac:dyDescent="0.2">
      <c r="A78" s="8">
        <v>21</v>
      </c>
      <c r="B78" s="9" t="str">
        <f>VLOOKUP($A78, Equipes!$A$3:$B$42, 2, FALSE)</f>
        <v>FÉLIX(CEPE)</v>
      </c>
      <c r="C78" s="18">
        <v>3</v>
      </c>
      <c r="D78" s="10" t="s">
        <v>22</v>
      </c>
      <c r="E78" s="18">
        <v>1</v>
      </c>
      <c r="F78" s="11" t="str">
        <f>VLOOKUP($G78, Equipes!$A$3:$B$42, 2, FALSE)</f>
        <v>MARIELCINHO(LTVL)</v>
      </c>
      <c r="G78" s="8">
        <v>18</v>
      </c>
      <c r="H78" s="9">
        <v>9</v>
      </c>
      <c r="I78" s="9" t="s">
        <v>25</v>
      </c>
      <c r="J78" s="9">
        <v>4</v>
      </c>
      <c r="M78" s="9" t="str">
        <f t="shared" si="33"/>
        <v>FÉLIX(CEPE)</v>
      </c>
      <c r="N78" s="9" t="str">
        <f t="shared" si="34"/>
        <v>MARIELCINHO(LTVL)</v>
      </c>
      <c r="O78" s="9" t="str">
        <f t="shared" si="35"/>
        <v>FÉLIX(CEPE)</v>
      </c>
      <c r="P78" s="9" t="str">
        <f t="shared" si="36"/>
        <v/>
      </c>
      <c r="Q78" s="9" t="str">
        <f t="shared" si="37"/>
        <v/>
      </c>
      <c r="R78" s="9" t="str">
        <f t="shared" si="38"/>
        <v>MARIELCINHO(LTVL)</v>
      </c>
      <c r="S78" s="9" t="str">
        <f t="shared" si="39"/>
        <v>FÉLIX(CEPE)</v>
      </c>
      <c r="T78" s="9">
        <f t="shared" si="40"/>
        <v>3</v>
      </c>
      <c r="U78" s="9" t="str">
        <f t="shared" si="41"/>
        <v>MARIELCINHO(LTVL)</v>
      </c>
      <c r="V78" s="9">
        <f t="shared" si="42"/>
        <v>1</v>
      </c>
      <c r="W78" s="9">
        <f t="shared" si="43"/>
        <v>3</v>
      </c>
    </row>
    <row r="79" spans="1:23" x14ac:dyDescent="0.2">
      <c r="A79" s="8">
        <v>25</v>
      </c>
      <c r="B79" s="19" t="str">
        <f>VLOOKUP($A79, Equipes!$A$3:$B$42, 2, FALSE)</f>
        <v>MARCÃO SILVA(SPFC)</v>
      </c>
      <c r="C79" s="18">
        <v>3</v>
      </c>
      <c r="D79" s="20" t="s">
        <v>22</v>
      </c>
      <c r="E79" s="18">
        <v>3</v>
      </c>
      <c r="F79" s="21" t="str">
        <f>VLOOKUP($G79, Equipes!$A$3:$B$42, 2, FALSE)</f>
        <v>BERGAMINI(MZ)</v>
      </c>
      <c r="G79" s="22">
        <v>32</v>
      </c>
      <c r="H79" s="19">
        <v>14</v>
      </c>
      <c r="I79" s="19" t="s">
        <v>17</v>
      </c>
      <c r="J79" s="19">
        <v>4</v>
      </c>
      <c r="K79" s="19"/>
      <c r="M79" s="9" t="str">
        <f t="shared" si="33"/>
        <v>MARCÃO SILVA(SPFC)</v>
      </c>
      <c r="N79" s="9" t="str">
        <f t="shared" si="34"/>
        <v>BERGAMINI(MZ)</v>
      </c>
      <c r="O79" s="9" t="str">
        <f t="shared" si="35"/>
        <v/>
      </c>
      <c r="P79" s="9" t="str">
        <f t="shared" si="36"/>
        <v>MARCÃO SILVA(SPFC)</v>
      </c>
      <c r="Q79" s="9" t="str">
        <f t="shared" si="37"/>
        <v>BERGAMINI(MZ)</v>
      </c>
      <c r="R79" s="9" t="str">
        <f t="shared" si="38"/>
        <v/>
      </c>
      <c r="S79" s="9" t="str">
        <f t="shared" si="39"/>
        <v>MARCÃO SILVA(SPFC)</v>
      </c>
      <c r="T79" s="9">
        <f t="shared" si="40"/>
        <v>3</v>
      </c>
      <c r="U79" s="9" t="str">
        <f t="shared" si="41"/>
        <v>BERGAMINI(MZ)</v>
      </c>
      <c r="V79" s="9">
        <f t="shared" si="42"/>
        <v>3</v>
      </c>
      <c r="W79" s="9">
        <f t="shared" si="43"/>
        <v>3</v>
      </c>
    </row>
    <row r="80" spans="1:23" x14ac:dyDescent="0.2">
      <c r="A80" s="8">
        <v>31</v>
      </c>
      <c r="B80" s="9" t="str">
        <f>VLOOKUP($A80, Equipes!$A$3:$B$42, 2, FALSE)</f>
        <v>GALDEANO(SCCP)</v>
      </c>
      <c r="C80" s="18">
        <v>3</v>
      </c>
      <c r="D80" s="10" t="s">
        <v>22</v>
      </c>
      <c r="E80" s="18">
        <v>1</v>
      </c>
      <c r="F80" s="11" t="str">
        <f>VLOOKUP($G80, Equipes!$A$3:$B$42, 2, FALSE)</f>
        <v>CHARLEAUX(CEPE)</v>
      </c>
      <c r="G80" s="8">
        <v>28</v>
      </c>
      <c r="H80" s="9">
        <v>15</v>
      </c>
      <c r="I80" s="9" t="s">
        <v>17</v>
      </c>
      <c r="J80" s="9">
        <v>4</v>
      </c>
      <c r="M80" s="9" t="str">
        <f t="shared" si="33"/>
        <v>GALDEANO(SCCP)</v>
      </c>
      <c r="N80" s="9" t="str">
        <f t="shared" si="34"/>
        <v>CHARLEAUX(CEPE)</v>
      </c>
      <c r="O80" s="9" t="str">
        <f t="shared" si="35"/>
        <v>GALDEANO(SCCP)</v>
      </c>
      <c r="P80" s="9" t="str">
        <f t="shared" si="36"/>
        <v/>
      </c>
      <c r="Q80" s="9" t="str">
        <f t="shared" si="37"/>
        <v/>
      </c>
      <c r="R80" s="9" t="str">
        <f t="shared" si="38"/>
        <v>CHARLEAUX(CEPE)</v>
      </c>
      <c r="S80" s="9" t="str">
        <f t="shared" si="39"/>
        <v>GALDEANO(SCCP)</v>
      </c>
      <c r="T80" s="9">
        <f t="shared" si="40"/>
        <v>3</v>
      </c>
      <c r="U80" s="9" t="str">
        <f t="shared" si="41"/>
        <v>CHARLEAUX(CEPE)</v>
      </c>
      <c r="V80" s="9">
        <f t="shared" si="42"/>
        <v>1</v>
      </c>
      <c r="W80" s="9">
        <f t="shared" si="43"/>
        <v>3</v>
      </c>
    </row>
    <row r="81" spans="1:23" x14ac:dyDescent="0.2">
      <c r="A81" s="8">
        <v>30</v>
      </c>
      <c r="B81" s="19" t="str">
        <f>VLOOKUP($A81, Equipes!$A$3:$B$42, 2, FALSE)</f>
        <v>GUANABARA(LTVL)</v>
      </c>
      <c r="C81" s="18">
        <v>3</v>
      </c>
      <c r="D81" s="20" t="s">
        <v>22</v>
      </c>
      <c r="E81" s="18">
        <v>2</v>
      </c>
      <c r="F81" s="21" t="str">
        <f>VLOOKUP($G81, Equipes!$A$3:$B$42, 2, FALSE)</f>
        <v>DJ IURY(BF)</v>
      </c>
      <c r="G81" s="22">
        <v>27</v>
      </c>
      <c r="H81" s="19">
        <v>10</v>
      </c>
      <c r="I81" s="19" t="s">
        <v>17</v>
      </c>
      <c r="J81" s="19">
        <v>4</v>
      </c>
      <c r="K81" s="19"/>
      <c r="M81" s="9" t="str">
        <f t="shared" si="33"/>
        <v>GUANABARA(LTVL)</v>
      </c>
      <c r="N81" s="9" t="str">
        <f t="shared" si="34"/>
        <v>DJ IURY(BF)</v>
      </c>
      <c r="O81" s="9" t="str">
        <f t="shared" si="35"/>
        <v>GUANABARA(LTVL)</v>
      </c>
      <c r="P81" s="9" t="str">
        <f t="shared" si="36"/>
        <v/>
      </c>
      <c r="Q81" s="9" t="str">
        <f t="shared" si="37"/>
        <v/>
      </c>
      <c r="R81" s="9" t="str">
        <f t="shared" si="38"/>
        <v>DJ IURY(BF)</v>
      </c>
      <c r="S81" s="9" t="str">
        <f t="shared" si="39"/>
        <v>GUANABARA(LTVL)</v>
      </c>
      <c r="T81" s="9">
        <f t="shared" si="40"/>
        <v>3</v>
      </c>
      <c r="U81" s="9" t="str">
        <f t="shared" si="41"/>
        <v>DJ IURY(BF)</v>
      </c>
      <c r="V81" s="9">
        <f t="shared" si="42"/>
        <v>2</v>
      </c>
      <c r="W81" s="9">
        <f t="shared" si="43"/>
        <v>3</v>
      </c>
    </row>
    <row r="82" spans="1:23" x14ac:dyDescent="0.2">
      <c r="A82" s="8">
        <v>29</v>
      </c>
      <c r="B82" s="9" t="str">
        <f>VLOOKUP($A82, Equipes!$A$3:$B$42, 2, FALSE)</f>
        <v>PABLO MARTINS(SPFC)</v>
      </c>
      <c r="C82" s="18">
        <v>4</v>
      </c>
      <c r="D82" s="10" t="s">
        <v>22</v>
      </c>
      <c r="E82" s="18">
        <v>1</v>
      </c>
      <c r="F82" s="11" t="str">
        <f>VLOOKUP($G82, Equipes!$A$3:$B$42, 2, FALSE)</f>
        <v>RAFAEL BALIEIRO(LTVL)</v>
      </c>
      <c r="G82" s="8">
        <v>26</v>
      </c>
      <c r="H82" s="9">
        <v>20</v>
      </c>
      <c r="I82" s="9" t="s">
        <v>17</v>
      </c>
      <c r="J82" s="9">
        <v>4</v>
      </c>
      <c r="M82" s="9" t="str">
        <f t="shared" si="33"/>
        <v>PABLO MARTINS(SPFC)</v>
      </c>
      <c r="N82" s="9" t="str">
        <f t="shared" si="34"/>
        <v>RAFAEL BALIEIRO(LTVL)</v>
      </c>
      <c r="O82" s="9" t="str">
        <f t="shared" si="35"/>
        <v>PABLO MARTINS(SPFC)</v>
      </c>
      <c r="P82" s="9" t="str">
        <f t="shared" si="36"/>
        <v/>
      </c>
      <c r="Q82" s="9" t="str">
        <f t="shared" si="37"/>
        <v/>
      </c>
      <c r="R82" s="9" t="str">
        <f t="shared" si="38"/>
        <v>RAFAEL BALIEIRO(LTVL)</v>
      </c>
      <c r="S82" s="9" t="str">
        <f t="shared" si="39"/>
        <v>PABLO MARTINS(SPFC)</v>
      </c>
      <c r="T82" s="9">
        <f t="shared" si="40"/>
        <v>4</v>
      </c>
      <c r="U82" s="9" t="str">
        <f t="shared" si="41"/>
        <v>RAFAEL BALIEIRO(LTVL)</v>
      </c>
      <c r="V82" s="9">
        <f t="shared" si="42"/>
        <v>1</v>
      </c>
      <c r="W82" s="9">
        <f t="shared" si="43"/>
        <v>4</v>
      </c>
    </row>
    <row r="83" spans="1:23" x14ac:dyDescent="0.2">
      <c r="A83" s="8">
        <v>33</v>
      </c>
      <c r="B83" s="19" t="str">
        <f>VLOOKUP($A83, Equipes!$A$3:$B$42, 2, FALSE)</f>
        <v>LÉO CARIOCA(MZ)</v>
      </c>
      <c r="C83" s="18">
        <v>3</v>
      </c>
      <c r="D83" s="20" t="s">
        <v>22</v>
      </c>
      <c r="E83" s="18">
        <v>4</v>
      </c>
      <c r="F83" s="21" t="str">
        <f>VLOOKUP($G83, Equipes!$A$3:$B$42, 2, FALSE)</f>
        <v>PEPE 2004(CEPE)</v>
      </c>
      <c r="G83" s="22">
        <v>40</v>
      </c>
      <c r="H83" s="19">
        <v>18</v>
      </c>
      <c r="I83" s="19" t="s">
        <v>16</v>
      </c>
      <c r="J83" s="19">
        <v>4</v>
      </c>
      <c r="K83" s="19"/>
      <c r="M83" s="9" t="str">
        <f t="shared" si="33"/>
        <v>LÉO CARIOCA(MZ)</v>
      </c>
      <c r="N83" s="9" t="str">
        <f t="shared" si="34"/>
        <v>PEPE 2004(CEPE)</v>
      </c>
      <c r="O83" s="9" t="str">
        <f t="shared" si="35"/>
        <v>PEPE 2004(CEPE)</v>
      </c>
      <c r="P83" s="9" t="str">
        <f t="shared" si="36"/>
        <v/>
      </c>
      <c r="Q83" s="9" t="str">
        <f t="shared" si="37"/>
        <v/>
      </c>
      <c r="R83" s="9" t="str">
        <f t="shared" si="38"/>
        <v>LÉO CARIOCA(MZ)</v>
      </c>
      <c r="S83" s="9" t="str">
        <f t="shared" si="39"/>
        <v>LÉO CARIOCA(MZ)</v>
      </c>
      <c r="T83" s="9">
        <f t="shared" si="40"/>
        <v>3</v>
      </c>
      <c r="U83" s="9" t="str">
        <f t="shared" si="41"/>
        <v>PEPE 2004(CEPE)</v>
      </c>
      <c r="V83" s="9">
        <f t="shared" si="42"/>
        <v>4</v>
      </c>
      <c r="W83" s="9">
        <f t="shared" si="43"/>
        <v>3</v>
      </c>
    </row>
    <row r="84" spans="1:23" x14ac:dyDescent="0.2">
      <c r="A84" s="8">
        <v>39</v>
      </c>
      <c r="B84" s="9" t="str">
        <f>VLOOKUP($A84, Equipes!$A$3:$B$42, 2, FALSE)</f>
        <v>RODRIGO MORO(SCCP)</v>
      </c>
      <c r="C84" s="18">
        <v>0</v>
      </c>
      <c r="D84" s="10" t="s">
        <v>22</v>
      </c>
      <c r="E84" s="18">
        <v>2</v>
      </c>
      <c r="F84" s="11" t="str">
        <f>VLOOKUP($G84, Equipes!$A$3:$B$42, 2, FALSE)</f>
        <v>RICARDO RAMALHO(BF)</v>
      </c>
      <c r="G84" s="8">
        <v>36</v>
      </c>
      <c r="H84" s="9">
        <v>13</v>
      </c>
      <c r="I84" s="9" t="s">
        <v>16</v>
      </c>
      <c r="J84" s="9">
        <v>4</v>
      </c>
      <c r="M84" s="9" t="str">
        <f t="shared" si="33"/>
        <v>RODRIGO MORO(SCCP)</v>
      </c>
      <c r="N84" s="9" t="str">
        <f t="shared" si="34"/>
        <v>RICARDO RAMALHO(BF)</v>
      </c>
      <c r="O84" s="9" t="str">
        <f t="shared" si="35"/>
        <v>RICARDO RAMALHO(BF)</v>
      </c>
      <c r="P84" s="9" t="str">
        <f t="shared" si="36"/>
        <v/>
      </c>
      <c r="Q84" s="9" t="str">
        <f t="shared" si="37"/>
        <v/>
      </c>
      <c r="R84" s="9" t="str">
        <f t="shared" si="38"/>
        <v>RODRIGO MORO(SCCP)</v>
      </c>
      <c r="S84" s="9" t="str">
        <f t="shared" si="39"/>
        <v>RODRIGO MORO(SCCP)</v>
      </c>
      <c r="T84" s="9">
        <f t="shared" si="40"/>
        <v>0</v>
      </c>
      <c r="U84" s="9" t="str">
        <f t="shared" si="41"/>
        <v>RICARDO RAMALHO(BF)</v>
      </c>
      <c r="V84" s="9">
        <f t="shared" si="42"/>
        <v>2</v>
      </c>
      <c r="W84" s="9">
        <f t="shared" si="43"/>
        <v>0</v>
      </c>
    </row>
    <row r="85" spans="1:23" x14ac:dyDescent="0.2">
      <c r="A85" s="8">
        <v>38</v>
      </c>
      <c r="B85" s="19" t="str">
        <f>VLOOKUP($A85, Equipes!$A$3:$B$42, 2, FALSE)</f>
        <v>PAULO ROBERTO(SPFC)</v>
      </c>
      <c r="C85" s="18">
        <v>1</v>
      </c>
      <c r="D85" s="20" t="s">
        <v>22</v>
      </c>
      <c r="E85" s="18">
        <v>1</v>
      </c>
      <c r="F85" s="21" t="str">
        <f>VLOOKUP($G85, Equipes!$A$3:$B$42, 2, FALSE)</f>
        <v>TUPINAMBÁ(LTVL)</v>
      </c>
      <c r="G85" s="22">
        <v>35</v>
      </c>
      <c r="H85" s="19">
        <v>16</v>
      </c>
      <c r="I85" s="19" t="s">
        <v>16</v>
      </c>
      <c r="J85" s="19">
        <v>4</v>
      </c>
      <c r="K85" s="19"/>
      <c r="M85" s="9" t="str">
        <f t="shared" si="33"/>
        <v>PAULO ROBERTO(SPFC)</v>
      </c>
      <c r="N85" s="9" t="str">
        <f t="shared" si="34"/>
        <v>TUPINAMBÁ(LTVL)</v>
      </c>
      <c r="O85" s="9" t="str">
        <f t="shared" si="35"/>
        <v/>
      </c>
      <c r="P85" s="9" t="str">
        <f t="shared" si="36"/>
        <v>PAULO ROBERTO(SPFC)</v>
      </c>
      <c r="Q85" s="9" t="str">
        <f t="shared" si="37"/>
        <v>TUPINAMBÁ(LTVL)</v>
      </c>
      <c r="R85" s="9" t="str">
        <f t="shared" si="38"/>
        <v/>
      </c>
      <c r="S85" s="9" t="str">
        <f t="shared" si="39"/>
        <v>PAULO ROBERTO(SPFC)</v>
      </c>
      <c r="T85" s="9">
        <f t="shared" si="40"/>
        <v>1</v>
      </c>
      <c r="U85" s="9" t="str">
        <f t="shared" si="41"/>
        <v>TUPINAMBÁ(LTVL)</v>
      </c>
      <c r="V85" s="9">
        <f t="shared" si="42"/>
        <v>1</v>
      </c>
      <c r="W85" s="9">
        <f t="shared" si="43"/>
        <v>1</v>
      </c>
    </row>
    <row r="86" spans="1:23" x14ac:dyDescent="0.2">
      <c r="A86" s="8">
        <v>37</v>
      </c>
      <c r="B86" s="9" t="str">
        <f>VLOOKUP($A86, Equipes!$A$3:$B$42, 2, FALSE)</f>
        <v>BRAGHETTO(MZ)</v>
      </c>
      <c r="C86" s="18">
        <v>2</v>
      </c>
      <c r="D86" s="10" t="s">
        <v>22</v>
      </c>
      <c r="E86" s="18">
        <v>0</v>
      </c>
      <c r="F86" s="11" t="str">
        <f>VLOOKUP($G86, Equipes!$A$3:$B$42, 2, FALSE)</f>
        <v>ZÉ LUIZ(SPFC)</v>
      </c>
      <c r="G86" s="8">
        <v>34</v>
      </c>
      <c r="H86" s="9">
        <v>11</v>
      </c>
      <c r="I86" s="9" t="s">
        <v>16</v>
      </c>
      <c r="J86" s="9">
        <v>4</v>
      </c>
      <c r="M86" s="9" t="str">
        <f t="shared" si="33"/>
        <v>BRAGHETTO(MZ)</v>
      </c>
      <c r="N86" s="9" t="str">
        <f t="shared" si="34"/>
        <v>ZÉ LUIZ(SPFC)</v>
      </c>
      <c r="O86" s="9" t="str">
        <f t="shared" si="35"/>
        <v>BRAGHETTO(MZ)</v>
      </c>
      <c r="P86" s="9" t="str">
        <f t="shared" si="36"/>
        <v/>
      </c>
      <c r="Q86" s="9" t="str">
        <f t="shared" si="37"/>
        <v/>
      </c>
      <c r="R86" s="9" t="str">
        <f t="shared" si="38"/>
        <v>ZÉ LUIZ(SPFC)</v>
      </c>
      <c r="S86" s="9" t="str">
        <f t="shared" si="39"/>
        <v>BRAGHETTO(MZ)</v>
      </c>
      <c r="T86" s="9">
        <f t="shared" si="40"/>
        <v>2</v>
      </c>
      <c r="U86" s="9" t="str">
        <f t="shared" si="41"/>
        <v>ZÉ LUIZ(SPFC)</v>
      </c>
      <c r="V86" s="9">
        <f t="shared" si="42"/>
        <v>0</v>
      </c>
      <c r="W86" s="9">
        <f t="shared" si="43"/>
        <v>2</v>
      </c>
    </row>
    <row r="87" spans="1:23" x14ac:dyDescent="0.2">
      <c r="B87" s="13" t="s">
        <v>29</v>
      </c>
      <c r="C87" s="14"/>
      <c r="D87" s="14"/>
      <c r="E87" s="14"/>
      <c r="F87" s="15"/>
      <c r="G87" s="16"/>
      <c r="H87" s="13" t="s">
        <v>11</v>
      </c>
      <c r="I87" s="13" t="s">
        <v>12</v>
      </c>
      <c r="J87" s="13" t="s">
        <v>13</v>
      </c>
      <c r="K87" s="17">
        <f>K3 + TIME(0,80,0)</f>
        <v>45340.569444444445</v>
      </c>
      <c r="M87" s="12" t="s">
        <v>14</v>
      </c>
      <c r="N87" s="12" t="s">
        <v>14</v>
      </c>
      <c r="O87" s="12" t="s">
        <v>15</v>
      </c>
      <c r="P87" s="12" t="s">
        <v>16</v>
      </c>
      <c r="Q87" s="12" t="s">
        <v>16</v>
      </c>
      <c r="R87" s="12" t="s">
        <v>17</v>
      </c>
      <c r="S87" s="12" t="s">
        <v>18</v>
      </c>
      <c r="T87" s="12" t="s">
        <v>19</v>
      </c>
      <c r="U87" s="12" t="s">
        <v>15</v>
      </c>
      <c r="V87" s="12" t="s">
        <v>20</v>
      </c>
      <c r="W87" s="12" t="s">
        <v>21</v>
      </c>
    </row>
    <row r="88" spans="1:23" x14ac:dyDescent="0.2">
      <c r="A88" s="8">
        <v>1</v>
      </c>
      <c r="B88" s="9" t="str">
        <f>VLOOKUP($A88, Equipes!$A$3:$B$42, 2, FALSE)</f>
        <v>RUAS(CEPE)</v>
      </c>
      <c r="C88" s="18">
        <v>3</v>
      </c>
      <c r="D88" s="10" t="s">
        <v>22</v>
      </c>
      <c r="E88" s="18">
        <v>1</v>
      </c>
      <c r="F88" s="11" t="str">
        <f>VLOOKUP($G88, Equipes!$A$3:$B$42, 2, FALSE)</f>
        <v>PROFESSOR(LTVL)</v>
      </c>
      <c r="G88" s="8">
        <v>4</v>
      </c>
      <c r="H88" s="9">
        <v>10</v>
      </c>
      <c r="I88" s="9" t="s">
        <v>23</v>
      </c>
      <c r="J88" s="9">
        <v>5</v>
      </c>
      <c r="M88" s="9" t="str">
        <f t="shared" ref="M88:M107" si="44">IF(OR(C88 = "",E88 = ""), "", B88)</f>
        <v>RUAS(CEPE)</v>
      </c>
      <c r="N88" s="9" t="str">
        <f t="shared" ref="N88:N107" si="45">IF(OR(C88 = "",E88 = ""), "", F88)</f>
        <v>PROFESSOR(LTVL)</v>
      </c>
      <c r="O88" s="9" t="str">
        <f t="shared" ref="O88:O107" si="46">IF(C88&gt;E88,B88, IF(E88&gt;C88,F88, ""))</f>
        <v>RUAS(CEPE)</v>
      </c>
      <c r="P88" s="9" t="str">
        <f t="shared" ref="P88:P107" si="47">IF(OR(C88 = "",E88 = ""), "", IF(C88=E88,B88, ""))</f>
        <v/>
      </c>
      <c r="Q88" s="9" t="str">
        <f t="shared" ref="Q88:Q107" si="48">IF(OR(C88 = "",E88 = ""), "", IF(C88=E88,F88, ""))</f>
        <v/>
      </c>
      <c r="R88" s="9" t="str">
        <f t="shared" ref="R88:R107" si="49">IF(C88&gt;E88,F88, IF(E88&gt;C88,B88, ""))</f>
        <v>PROFESSOR(LTVL)</v>
      </c>
      <c r="S88" s="9" t="str">
        <f t="shared" ref="S88:S107" si="50">IF(OR(C88 = "",E88 = ""), "", B88)</f>
        <v>RUAS(CEPE)</v>
      </c>
      <c r="T88" s="9">
        <f t="shared" ref="T88:T107" si="51">IF(C88 = "", "", C88)</f>
        <v>3</v>
      </c>
      <c r="U88" s="9" t="str">
        <f t="shared" ref="U88:U107" si="52">IF(OR(C88 = "",E88 = ""), "", F88)</f>
        <v>PROFESSOR(LTVL)</v>
      </c>
      <c r="V88" s="9">
        <f t="shared" ref="V88:V107" si="53">IF(E88 = "", "", E88)</f>
        <v>1</v>
      </c>
      <c r="W88" s="9">
        <f t="shared" ref="W88:W107" si="54">IF(C88 = "", "", C88)</f>
        <v>3</v>
      </c>
    </row>
    <row r="89" spans="1:23" x14ac:dyDescent="0.2">
      <c r="A89" s="8">
        <v>8</v>
      </c>
      <c r="B89" s="19" t="str">
        <f>VLOOKUP($A89, Equipes!$A$3:$B$42, 2, FALSE)</f>
        <v>CORTEZ(MZ)</v>
      </c>
      <c r="C89" s="18">
        <v>0</v>
      </c>
      <c r="D89" s="20" t="s">
        <v>22</v>
      </c>
      <c r="E89" s="18">
        <v>3</v>
      </c>
      <c r="F89" s="21" t="str">
        <f>VLOOKUP($G89, Equipes!$A$3:$B$42, 2, FALSE)</f>
        <v>SALLYS(SPFC)</v>
      </c>
      <c r="G89" s="22">
        <v>3</v>
      </c>
      <c r="H89" s="19">
        <v>12</v>
      </c>
      <c r="I89" s="19" t="s">
        <v>23</v>
      </c>
      <c r="J89" s="19">
        <v>5</v>
      </c>
      <c r="K89" s="19"/>
      <c r="M89" s="9" t="str">
        <f t="shared" si="44"/>
        <v>CORTEZ(MZ)</v>
      </c>
      <c r="N89" s="9" t="str">
        <f t="shared" si="45"/>
        <v>SALLYS(SPFC)</v>
      </c>
      <c r="O89" s="9" t="str">
        <f t="shared" si="46"/>
        <v>SALLYS(SPFC)</v>
      </c>
      <c r="P89" s="9" t="str">
        <f t="shared" si="47"/>
        <v/>
      </c>
      <c r="Q89" s="9" t="str">
        <f t="shared" si="48"/>
        <v/>
      </c>
      <c r="R89" s="9" t="str">
        <f t="shared" si="49"/>
        <v>CORTEZ(MZ)</v>
      </c>
      <c r="S89" s="9" t="str">
        <f t="shared" si="50"/>
        <v>CORTEZ(MZ)</v>
      </c>
      <c r="T89" s="9">
        <f t="shared" si="51"/>
        <v>0</v>
      </c>
      <c r="U89" s="9" t="str">
        <f t="shared" si="52"/>
        <v>SALLYS(SPFC)</v>
      </c>
      <c r="V89" s="9">
        <f t="shared" si="53"/>
        <v>3</v>
      </c>
      <c r="W89" s="9">
        <f t="shared" si="54"/>
        <v>0</v>
      </c>
    </row>
    <row r="90" spans="1:23" x14ac:dyDescent="0.2">
      <c r="A90" s="8">
        <v>7</v>
      </c>
      <c r="B90" s="9" t="str">
        <f>VLOOKUP($A90, Equipes!$A$3:$B$42, 2, FALSE)</f>
        <v>AURÉLIO(BF)</v>
      </c>
      <c r="C90" s="18">
        <v>2</v>
      </c>
      <c r="D90" s="10" t="s">
        <v>22</v>
      </c>
      <c r="E90" s="18">
        <v>0</v>
      </c>
      <c r="F90" s="11" t="str">
        <f>VLOOKUP($G90, Equipes!$A$3:$B$42, 2, FALSE)</f>
        <v>MARCOS WILLOW(SCCP)</v>
      </c>
      <c r="G90" s="8">
        <v>2</v>
      </c>
      <c r="H90" s="9">
        <v>18</v>
      </c>
      <c r="I90" s="9" t="s">
        <v>23</v>
      </c>
      <c r="J90" s="9">
        <v>5</v>
      </c>
      <c r="M90" s="9" t="str">
        <f t="shared" si="44"/>
        <v>AURÉLIO(BF)</v>
      </c>
      <c r="N90" s="9" t="str">
        <f t="shared" si="45"/>
        <v>MARCOS WILLOW(SCCP)</v>
      </c>
      <c r="O90" s="9" t="str">
        <f t="shared" si="46"/>
        <v>AURÉLIO(BF)</v>
      </c>
      <c r="P90" s="9" t="str">
        <f t="shared" si="47"/>
        <v/>
      </c>
      <c r="Q90" s="9" t="str">
        <f t="shared" si="48"/>
        <v/>
      </c>
      <c r="R90" s="9" t="str">
        <f t="shared" si="49"/>
        <v>MARCOS WILLOW(SCCP)</v>
      </c>
      <c r="S90" s="9" t="str">
        <f t="shared" si="50"/>
        <v>AURÉLIO(BF)</v>
      </c>
      <c r="T90" s="9">
        <f t="shared" si="51"/>
        <v>2</v>
      </c>
      <c r="U90" s="9" t="str">
        <f t="shared" si="52"/>
        <v>MARCOS WILLOW(SCCP)</v>
      </c>
      <c r="V90" s="9">
        <f t="shared" si="53"/>
        <v>0</v>
      </c>
      <c r="W90" s="9">
        <f t="shared" si="54"/>
        <v>2</v>
      </c>
    </row>
    <row r="91" spans="1:23" x14ac:dyDescent="0.2">
      <c r="A91" s="8">
        <v>6</v>
      </c>
      <c r="B91" s="19" t="str">
        <f>VLOOKUP($A91, Equipes!$A$3:$B$42, 2, FALSE)</f>
        <v>COELHO(SCCP)</v>
      </c>
      <c r="C91" s="18">
        <v>0</v>
      </c>
      <c r="D91" s="20" t="s">
        <v>22</v>
      </c>
      <c r="E91" s="18">
        <v>4</v>
      </c>
      <c r="F91" s="21" t="str">
        <f>VLOOKUP($G91, Equipes!$A$3:$B$42, 2, FALSE)</f>
        <v>CLÉO JR (CEPE)</v>
      </c>
      <c r="G91" s="22">
        <v>5</v>
      </c>
      <c r="H91" s="19">
        <v>2</v>
      </c>
      <c r="I91" s="19" t="s">
        <v>23</v>
      </c>
      <c r="J91" s="19">
        <v>5</v>
      </c>
      <c r="K91" s="19"/>
      <c r="M91" s="9" t="str">
        <f t="shared" si="44"/>
        <v>COELHO(SCCP)</v>
      </c>
      <c r="N91" s="9" t="str">
        <f t="shared" si="45"/>
        <v>CLÉO JR (CEPE)</v>
      </c>
      <c r="O91" s="9" t="str">
        <f t="shared" si="46"/>
        <v>CLÉO JR (CEPE)</v>
      </c>
      <c r="P91" s="9" t="str">
        <f t="shared" si="47"/>
        <v/>
      </c>
      <c r="Q91" s="9" t="str">
        <f t="shared" si="48"/>
        <v/>
      </c>
      <c r="R91" s="9" t="str">
        <f t="shared" si="49"/>
        <v>COELHO(SCCP)</v>
      </c>
      <c r="S91" s="9" t="str">
        <f t="shared" si="50"/>
        <v>COELHO(SCCP)</v>
      </c>
      <c r="T91" s="9">
        <f t="shared" si="51"/>
        <v>0</v>
      </c>
      <c r="U91" s="9" t="str">
        <f t="shared" si="52"/>
        <v>CLÉO JR (CEPE)</v>
      </c>
      <c r="V91" s="9">
        <f t="shared" si="53"/>
        <v>4</v>
      </c>
      <c r="W91" s="9">
        <f t="shared" si="54"/>
        <v>0</v>
      </c>
    </row>
    <row r="92" spans="1:23" x14ac:dyDescent="0.2">
      <c r="A92" s="8">
        <v>9</v>
      </c>
      <c r="B92" s="9" t="str">
        <f>VLOOKUP($A92, Equipes!$A$3:$B$42, 2, FALSE)</f>
        <v>TABAJARA(CEPE)</v>
      </c>
      <c r="C92" s="18">
        <v>4</v>
      </c>
      <c r="D92" s="10" t="s">
        <v>22</v>
      </c>
      <c r="E92" s="18">
        <v>0</v>
      </c>
      <c r="F92" s="11" t="str">
        <f>VLOOKUP($G92, Equipes!$A$3:$B$42, 2, FALSE)</f>
        <v>MARIELCIO(LTVL)</v>
      </c>
      <c r="G92" s="8">
        <v>12</v>
      </c>
      <c r="H92" s="9">
        <v>15</v>
      </c>
      <c r="I92" s="9" t="s">
        <v>24</v>
      </c>
      <c r="J92" s="9">
        <v>5</v>
      </c>
      <c r="M92" s="9" t="str">
        <f t="shared" si="44"/>
        <v>TABAJARA(CEPE)</v>
      </c>
      <c r="N92" s="9" t="str">
        <f t="shared" si="45"/>
        <v>MARIELCIO(LTVL)</v>
      </c>
      <c r="O92" s="9" t="str">
        <f t="shared" si="46"/>
        <v>TABAJARA(CEPE)</v>
      </c>
      <c r="P92" s="9" t="str">
        <f t="shared" si="47"/>
        <v/>
      </c>
      <c r="Q92" s="9" t="str">
        <f t="shared" si="48"/>
        <v/>
      </c>
      <c r="R92" s="9" t="str">
        <f t="shared" si="49"/>
        <v>MARIELCIO(LTVL)</v>
      </c>
      <c r="S92" s="9" t="str">
        <f t="shared" si="50"/>
        <v>TABAJARA(CEPE)</v>
      </c>
      <c r="T92" s="9">
        <f t="shared" si="51"/>
        <v>4</v>
      </c>
      <c r="U92" s="9" t="str">
        <f t="shared" si="52"/>
        <v>MARIELCIO(LTVL)</v>
      </c>
      <c r="V92" s="9">
        <f t="shared" si="53"/>
        <v>0</v>
      </c>
      <c r="W92" s="9">
        <f t="shared" si="54"/>
        <v>4</v>
      </c>
    </row>
    <row r="93" spans="1:23" x14ac:dyDescent="0.2">
      <c r="A93" s="8">
        <v>16</v>
      </c>
      <c r="B93" s="19" t="str">
        <f>VLOOKUP($A93, Equipes!$A$3:$B$42, 2, FALSE)</f>
        <v>LUIZ COELHO(MZ)</v>
      </c>
      <c r="C93" s="18">
        <v>1</v>
      </c>
      <c r="D93" s="20" t="s">
        <v>22</v>
      </c>
      <c r="E93" s="18">
        <v>1</v>
      </c>
      <c r="F93" s="21" t="str">
        <f>VLOOKUP($G93, Equipes!$A$3:$B$42, 2, FALSE)</f>
        <v>ELSIO(SPFC)</v>
      </c>
      <c r="G93" s="22">
        <v>11</v>
      </c>
      <c r="H93" s="19">
        <v>8</v>
      </c>
      <c r="I93" s="19" t="s">
        <v>24</v>
      </c>
      <c r="J93" s="19">
        <v>5</v>
      </c>
      <c r="K93" s="19"/>
      <c r="M93" s="9" t="str">
        <f t="shared" si="44"/>
        <v>LUIZ COELHO(MZ)</v>
      </c>
      <c r="N93" s="9" t="str">
        <f t="shared" si="45"/>
        <v>ELSIO(SPFC)</v>
      </c>
      <c r="O93" s="9" t="str">
        <f t="shared" si="46"/>
        <v/>
      </c>
      <c r="P93" s="9" t="str">
        <f t="shared" si="47"/>
        <v>LUIZ COELHO(MZ)</v>
      </c>
      <c r="Q93" s="9" t="str">
        <f t="shared" si="48"/>
        <v>ELSIO(SPFC)</v>
      </c>
      <c r="R93" s="9" t="str">
        <f t="shared" si="49"/>
        <v/>
      </c>
      <c r="S93" s="9" t="str">
        <f t="shared" si="50"/>
        <v>LUIZ COELHO(MZ)</v>
      </c>
      <c r="T93" s="9">
        <f t="shared" si="51"/>
        <v>1</v>
      </c>
      <c r="U93" s="9" t="str">
        <f t="shared" si="52"/>
        <v>ELSIO(SPFC)</v>
      </c>
      <c r="V93" s="9">
        <f t="shared" si="53"/>
        <v>1</v>
      </c>
      <c r="W93" s="9">
        <f t="shared" si="54"/>
        <v>1</v>
      </c>
    </row>
    <row r="94" spans="1:23" x14ac:dyDescent="0.2">
      <c r="A94" s="8">
        <v>15</v>
      </c>
      <c r="B94" s="9" t="str">
        <f>VLOOKUP($A94, Equipes!$A$3:$B$42, 2, FALSE)</f>
        <v>AUGUSTO(BF)</v>
      </c>
      <c r="C94" s="18">
        <v>2</v>
      </c>
      <c r="D94" s="10" t="s">
        <v>22</v>
      </c>
      <c r="E94" s="18">
        <v>2</v>
      </c>
      <c r="F94" s="11" t="str">
        <f>VLOOKUP($G94, Equipes!$A$3:$B$42, 2, FALSE)</f>
        <v>REGINALDO(SCCP)</v>
      </c>
      <c r="G94" s="8">
        <v>10</v>
      </c>
      <c r="H94" s="9">
        <v>7</v>
      </c>
      <c r="I94" s="9" t="s">
        <v>24</v>
      </c>
      <c r="J94" s="9">
        <v>5</v>
      </c>
      <c r="M94" s="9" t="str">
        <f t="shared" si="44"/>
        <v>AUGUSTO(BF)</v>
      </c>
      <c r="N94" s="9" t="str">
        <f t="shared" si="45"/>
        <v>REGINALDO(SCCP)</v>
      </c>
      <c r="O94" s="9" t="str">
        <f t="shared" si="46"/>
        <v/>
      </c>
      <c r="P94" s="9" t="str">
        <f t="shared" si="47"/>
        <v>AUGUSTO(BF)</v>
      </c>
      <c r="Q94" s="9" t="str">
        <f t="shared" si="48"/>
        <v>REGINALDO(SCCP)</v>
      </c>
      <c r="R94" s="9" t="str">
        <f t="shared" si="49"/>
        <v/>
      </c>
      <c r="S94" s="9" t="str">
        <f t="shared" si="50"/>
        <v>AUGUSTO(BF)</v>
      </c>
      <c r="T94" s="9">
        <f t="shared" si="51"/>
        <v>2</v>
      </c>
      <c r="U94" s="9" t="str">
        <f t="shared" si="52"/>
        <v>REGINALDO(SCCP)</v>
      </c>
      <c r="V94" s="9">
        <f t="shared" si="53"/>
        <v>2</v>
      </c>
      <c r="W94" s="9">
        <f t="shared" si="54"/>
        <v>2</v>
      </c>
    </row>
    <row r="95" spans="1:23" x14ac:dyDescent="0.2">
      <c r="A95" s="8">
        <v>14</v>
      </c>
      <c r="B95" s="19" t="str">
        <f>VLOOKUP($A95, Equipes!$A$3:$B$42, 2, FALSE)</f>
        <v>VINICIUS ROLIM(SCCP)</v>
      </c>
      <c r="C95" s="18">
        <v>3</v>
      </c>
      <c r="D95" s="20" t="s">
        <v>22</v>
      </c>
      <c r="E95" s="18">
        <v>2</v>
      </c>
      <c r="F95" s="21" t="str">
        <f>VLOOKUP($G95, Equipes!$A$3:$B$42, 2, FALSE)</f>
        <v>DIOGO(CEPE)</v>
      </c>
      <c r="G95" s="22">
        <v>13</v>
      </c>
      <c r="H95" s="19">
        <v>6</v>
      </c>
      <c r="I95" s="19" t="s">
        <v>24</v>
      </c>
      <c r="J95" s="19">
        <v>5</v>
      </c>
      <c r="K95" s="19"/>
      <c r="M95" s="9" t="str">
        <f t="shared" si="44"/>
        <v>VINICIUS ROLIM(SCCP)</v>
      </c>
      <c r="N95" s="9" t="str">
        <f t="shared" si="45"/>
        <v>DIOGO(CEPE)</v>
      </c>
      <c r="O95" s="9" t="str">
        <f t="shared" si="46"/>
        <v>VINICIUS ROLIM(SCCP)</v>
      </c>
      <c r="P95" s="9" t="str">
        <f t="shared" si="47"/>
        <v/>
      </c>
      <c r="Q95" s="9" t="str">
        <f t="shared" si="48"/>
        <v/>
      </c>
      <c r="R95" s="9" t="str">
        <f t="shared" si="49"/>
        <v>DIOGO(CEPE)</v>
      </c>
      <c r="S95" s="9" t="str">
        <f t="shared" si="50"/>
        <v>VINICIUS ROLIM(SCCP)</v>
      </c>
      <c r="T95" s="9">
        <f t="shared" si="51"/>
        <v>3</v>
      </c>
      <c r="U95" s="9" t="str">
        <f t="shared" si="52"/>
        <v>DIOGO(CEPE)</v>
      </c>
      <c r="V95" s="9">
        <f t="shared" si="53"/>
        <v>2</v>
      </c>
      <c r="W95" s="9">
        <f t="shared" si="54"/>
        <v>3</v>
      </c>
    </row>
    <row r="96" spans="1:23" x14ac:dyDescent="0.2">
      <c r="A96" s="8">
        <v>17</v>
      </c>
      <c r="B96" s="9" t="str">
        <f>VLOOKUP($A96, Equipes!$A$3:$B$42, 2, FALSE)</f>
        <v>AFONSO(CEPE)</v>
      </c>
      <c r="C96" s="18">
        <v>0</v>
      </c>
      <c r="D96" s="10" t="s">
        <v>22</v>
      </c>
      <c r="E96" s="18">
        <v>5</v>
      </c>
      <c r="F96" s="11" t="str">
        <f>VLOOKUP($G96, Equipes!$A$3:$B$42, 2, FALSE)</f>
        <v>MARCOS MATTOS(BF)</v>
      </c>
      <c r="G96" s="8">
        <v>20</v>
      </c>
      <c r="H96" s="9">
        <v>5</v>
      </c>
      <c r="I96" s="9" t="s">
        <v>25</v>
      </c>
      <c r="J96" s="9">
        <v>5</v>
      </c>
      <c r="M96" s="9" t="str">
        <f t="shared" si="44"/>
        <v>AFONSO(CEPE)</v>
      </c>
      <c r="N96" s="9" t="str">
        <f t="shared" si="45"/>
        <v>MARCOS MATTOS(BF)</v>
      </c>
      <c r="O96" s="9" t="str">
        <f t="shared" si="46"/>
        <v>MARCOS MATTOS(BF)</v>
      </c>
      <c r="P96" s="9" t="str">
        <f t="shared" si="47"/>
        <v/>
      </c>
      <c r="Q96" s="9" t="str">
        <f t="shared" si="48"/>
        <v/>
      </c>
      <c r="R96" s="9" t="str">
        <f t="shared" si="49"/>
        <v>AFONSO(CEPE)</v>
      </c>
      <c r="S96" s="9" t="str">
        <f t="shared" si="50"/>
        <v>AFONSO(CEPE)</v>
      </c>
      <c r="T96" s="9">
        <f t="shared" si="51"/>
        <v>0</v>
      </c>
      <c r="U96" s="9" t="str">
        <f t="shared" si="52"/>
        <v>MARCOS MATTOS(BF)</v>
      </c>
      <c r="V96" s="9">
        <f t="shared" si="53"/>
        <v>5</v>
      </c>
      <c r="W96" s="9">
        <f t="shared" si="54"/>
        <v>0</v>
      </c>
    </row>
    <row r="97" spans="1:23" x14ac:dyDescent="0.2">
      <c r="A97" s="8">
        <v>24</v>
      </c>
      <c r="B97" s="19" t="str">
        <f>VLOOKUP($A97, Equipes!$A$3:$B$42, 2, FALSE)</f>
        <v>MARIO MILI(MZ)</v>
      </c>
      <c r="C97" s="18">
        <v>1</v>
      </c>
      <c r="D97" s="20" t="s">
        <v>22</v>
      </c>
      <c r="E97" s="18">
        <v>1</v>
      </c>
      <c r="F97" s="21" t="str">
        <f>VLOOKUP($G97, Equipes!$A$3:$B$42, 2, FALSE)</f>
        <v>WAGNER(SPFC)</v>
      </c>
      <c r="G97" s="22">
        <v>19</v>
      </c>
      <c r="H97" s="19">
        <v>13</v>
      </c>
      <c r="I97" s="19" t="s">
        <v>25</v>
      </c>
      <c r="J97" s="19">
        <v>5</v>
      </c>
      <c r="K97" s="19"/>
      <c r="M97" s="9" t="str">
        <f t="shared" si="44"/>
        <v>MARIO MILI(MZ)</v>
      </c>
      <c r="N97" s="9" t="str">
        <f t="shared" si="45"/>
        <v>WAGNER(SPFC)</v>
      </c>
      <c r="O97" s="9" t="str">
        <f t="shared" si="46"/>
        <v/>
      </c>
      <c r="P97" s="9" t="str">
        <f t="shared" si="47"/>
        <v>MARIO MILI(MZ)</v>
      </c>
      <c r="Q97" s="9" t="str">
        <f t="shared" si="48"/>
        <v>WAGNER(SPFC)</v>
      </c>
      <c r="R97" s="9" t="str">
        <f t="shared" si="49"/>
        <v/>
      </c>
      <c r="S97" s="9" t="str">
        <f t="shared" si="50"/>
        <v>MARIO MILI(MZ)</v>
      </c>
      <c r="T97" s="9">
        <f t="shared" si="51"/>
        <v>1</v>
      </c>
      <c r="U97" s="9" t="str">
        <f t="shared" si="52"/>
        <v>WAGNER(SPFC)</v>
      </c>
      <c r="V97" s="9">
        <f t="shared" si="53"/>
        <v>1</v>
      </c>
      <c r="W97" s="9">
        <f t="shared" si="54"/>
        <v>1</v>
      </c>
    </row>
    <row r="98" spans="1:23" x14ac:dyDescent="0.2">
      <c r="A98" s="8">
        <v>23</v>
      </c>
      <c r="B98" s="9" t="str">
        <f>VLOOKUP($A98, Equipes!$A$3:$B$42, 2, FALSE)</f>
        <v>SÉRGIO BARREIRA(SCCP)</v>
      </c>
      <c r="C98" s="18">
        <v>1</v>
      </c>
      <c r="D98" s="10" t="s">
        <v>22</v>
      </c>
      <c r="E98" s="18">
        <v>1</v>
      </c>
      <c r="F98" s="11" t="str">
        <f>VLOOKUP($G98, Equipes!$A$3:$B$42, 2, FALSE)</f>
        <v>MARIELCINHO(LTVL)</v>
      </c>
      <c r="G98" s="8">
        <v>18</v>
      </c>
      <c r="H98" s="9">
        <v>3</v>
      </c>
      <c r="I98" s="9" t="s">
        <v>25</v>
      </c>
      <c r="J98" s="9">
        <v>5</v>
      </c>
      <c r="M98" s="9" t="str">
        <f t="shared" si="44"/>
        <v>SÉRGIO BARREIRA(SCCP)</v>
      </c>
      <c r="N98" s="9" t="str">
        <f t="shared" si="45"/>
        <v>MARIELCINHO(LTVL)</v>
      </c>
      <c r="O98" s="9" t="str">
        <f t="shared" si="46"/>
        <v/>
      </c>
      <c r="P98" s="9" t="str">
        <f t="shared" si="47"/>
        <v>SÉRGIO BARREIRA(SCCP)</v>
      </c>
      <c r="Q98" s="9" t="str">
        <f t="shared" si="48"/>
        <v>MARIELCINHO(LTVL)</v>
      </c>
      <c r="R98" s="9" t="str">
        <f t="shared" si="49"/>
        <v/>
      </c>
      <c r="S98" s="9" t="str">
        <f t="shared" si="50"/>
        <v>SÉRGIO BARREIRA(SCCP)</v>
      </c>
      <c r="T98" s="9">
        <f t="shared" si="51"/>
        <v>1</v>
      </c>
      <c r="U98" s="9" t="str">
        <f t="shared" si="52"/>
        <v>MARIELCINHO(LTVL)</v>
      </c>
      <c r="V98" s="9">
        <f t="shared" si="53"/>
        <v>1</v>
      </c>
      <c r="W98" s="9">
        <f t="shared" si="54"/>
        <v>1</v>
      </c>
    </row>
    <row r="99" spans="1:23" x14ac:dyDescent="0.2">
      <c r="A99" s="8">
        <v>22</v>
      </c>
      <c r="B99" s="19" t="str">
        <f>VLOOKUP($A99, Equipes!$A$3:$B$42, 2, FALSE)</f>
        <v>ELCIO(LTVL)</v>
      </c>
      <c r="C99" s="18">
        <v>1</v>
      </c>
      <c r="D99" s="20" t="s">
        <v>22</v>
      </c>
      <c r="E99" s="18">
        <v>1</v>
      </c>
      <c r="F99" s="21" t="str">
        <f>VLOOKUP($G99, Equipes!$A$3:$B$42, 2, FALSE)</f>
        <v>FÉLIX(CEPE)</v>
      </c>
      <c r="G99" s="22">
        <v>21</v>
      </c>
      <c r="H99" s="19">
        <v>4</v>
      </c>
      <c r="I99" s="19" t="s">
        <v>25</v>
      </c>
      <c r="J99" s="19">
        <v>5</v>
      </c>
      <c r="K99" s="19"/>
      <c r="M99" s="9" t="str">
        <f t="shared" si="44"/>
        <v>ELCIO(LTVL)</v>
      </c>
      <c r="N99" s="9" t="str">
        <f t="shared" si="45"/>
        <v>FÉLIX(CEPE)</v>
      </c>
      <c r="O99" s="9" t="str">
        <f t="shared" si="46"/>
        <v/>
      </c>
      <c r="P99" s="9" t="str">
        <f t="shared" si="47"/>
        <v>ELCIO(LTVL)</v>
      </c>
      <c r="Q99" s="9" t="str">
        <f t="shared" si="48"/>
        <v>FÉLIX(CEPE)</v>
      </c>
      <c r="R99" s="9" t="str">
        <f t="shared" si="49"/>
        <v/>
      </c>
      <c r="S99" s="9" t="str">
        <f t="shared" si="50"/>
        <v>ELCIO(LTVL)</v>
      </c>
      <c r="T99" s="9">
        <f t="shared" si="51"/>
        <v>1</v>
      </c>
      <c r="U99" s="9" t="str">
        <f t="shared" si="52"/>
        <v>FÉLIX(CEPE)</v>
      </c>
      <c r="V99" s="9">
        <f t="shared" si="53"/>
        <v>1</v>
      </c>
      <c r="W99" s="9">
        <f t="shared" si="54"/>
        <v>1</v>
      </c>
    </row>
    <row r="100" spans="1:23" x14ac:dyDescent="0.2">
      <c r="A100" s="8">
        <v>25</v>
      </c>
      <c r="B100" s="9" t="str">
        <f>VLOOKUP($A100, Equipes!$A$3:$B$42, 2, FALSE)</f>
        <v>MARCÃO SILVA(SPFC)</v>
      </c>
      <c r="C100" s="18">
        <v>1</v>
      </c>
      <c r="D100" s="10" t="s">
        <v>22</v>
      </c>
      <c r="E100" s="18">
        <v>2</v>
      </c>
      <c r="F100" s="11" t="str">
        <f>VLOOKUP($G100, Equipes!$A$3:$B$42, 2, FALSE)</f>
        <v>CHARLEAUX(CEPE)</v>
      </c>
      <c r="G100" s="8">
        <v>28</v>
      </c>
      <c r="H100" s="9">
        <v>9</v>
      </c>
      <c r="I100" s="9" t="s">
        <v>17</v>
      </c>
      <c r="J100" s="9">
        <v>5</v>
      </c>
      <c r="M100" s="9" t="str">
        <f t="shared" si="44"/>
        <v>MARCÃO SILVA(SPFC)</v>
      </c>
      <c r="N100" s="9" t="str">
        <f t="shared" si="45"/>
        <v>CHARLEAUX(CEPE)</v>
      </c>
      <c r="O100" s="9" t="str">
        <f t="shared" si="46"/>
        <v>CHARLEAUX(CEPE)</v>
      </c>
      <c r="P100" s="9" t="str">
        <f t="shared" si="47"/>
        <v/>
      </c>
      <c r="Q100" s="9" t="str">
        <f t="shared" si="48"/>
        <v/>
      </c>
      <c r="R100" s="9" t="str">
        <f t="shared" si="49"/>
        <v>MARCÃO SILVA(SPFC)</v>
      </c>
      <c r="S100" s="9" t="str">
        <f t="shared" si="50"/>
        <v>MARCÃO SILVA(SPFC)</v>
      </c>
      <c r="T100" s="9">
        <f t="shared" si="51"/>
        <v>1</v>
      </c>
      <c r="U100" s="9" t="str">
        <f t="shared" si="52"/>
        <v>CHARLEAUX(CEPE)</v>
      </c>
      <c r="V100" s="9">
        <f t="shared" si="53"/>
        <v>2</v>
      </c>
      <c r="W100" s="9">
        <f t="shared" si="54"/>
        <v>1</v>
      </c>
    </row>
    <row r="101" spans="1:23" x14ac:dyDescent="0.2">
      <c r="A101" s="8">
        <v>32</v>
      </c>
      <c r="B101" s="19" t="str">
        <f>VLOOKUP($A101, Equipes!$A$3:$B$42, 2, FALSE)</f>
        <v>BERGAMINI(MZ)</v>
      </c>
      <c r="C101" s="18">
        <v>1</v>
      </c>
      <c r="D101" s="20" t="s">
        <v>22</v>
      </c>
      <c r="E101" s="18">
        <v>1</v>
      </c>
      <c r="F101" s="21" t="str">
        <f>VLOOKUP($G101, Equipes!$A$3:$B$42, 2, FALSE)</f>
        <v>DJ IURY(BF)</v>
      </c>
      <c r="G101" s="22">
        <v>27</v>
      </c>
      <c r="H101" s="19">
        <v>11</v>
      </c>
      <c r="I101" s="19" t="s">
        <v>17</v>
      </c>
      <c r="J101" s="19">
        <v>5</v>
      </c>
      <c r="K101" s="19"/>
      <c r="M101" s="9" t="str">
        <f t="shared" si="44"/>
        <v>BERGAMINI(MZ)</v>
      </c>
      <c r="N101" s="9" t="str">
        <f t="shared" si="45"/>
        <v>DJ IURY(BF)</v>
      </c>
      <c r="O101" s="9" t="str">
        <f t="shared" si="46"/>
        <v/>
      </c>
      <c r="P101" s="9" t="str">
        <f t="shared" si="47"/>
        <v>BERGAMINI(MZ)</v>
      </c>
      <c r="Q101" s="9" t="str">
        <f t="shared" si="48"/>
        <v>DJ IURY(BF)</v>
      </c>
      <c r="R101" s="9" t="str">
        <f t="shared" si="49"/>
        <v/>
      </c>
      <c r="S101" s="9" t="str">
        <f t="shared" si="50"/>
        <v>BERGAMINI(MZ)</v>
      </c>
      <c r="T101" s="9">
        <f t="shared" si="51"/>
        <v>1</v>
      </c>
      <c r="U101" s="9" t="str">
        <f t="shared" si="52"/>
        <v>DJ IURY(BF)</v>
      </c>
      <c r="V101" s="9">
        <f t="shared" si="53"/>
        <v>1</v>
      </c>
      <c r="W101" s="9">
        <f t="shared" si="54"/>
        <v>1</v>
      </c>
    </row>
    <row r="102" spans="1:23" x14ac:dyDescent="0.2">
      <c r="A102" s="8">
        <v>31</v>
      </c>
      <c r="B102" s="9" t="str">
        <f>VLOOKUP($A102, Equipes!$A$3:$B$42, 2, FALSE)</f>
        <v>GALDEANO(SCCP)</v>
      </c>
      <c r="C102" s="18">
        <v>3</v>
      </c>
      <c r="D102" s="10" t="s">
        <v>22</v>
      </c>
      <c r="E102" s="18">
        <v>2</v>
      </c>
      <c r="F102" s="11" t="str">
        <f>VLOOKUP($G102, Equipes!$A$3:$B$42, 2, FALSE)</f>
        <v>RAFAEL BALIEIRO(LTVL)</v>
      </c>
      <c r="G102" s="8">
        <v>26</v>
      </c>
      <c r="H102" s="9">
        <v>17</v>
      </c>
      <c r="I102" s="9" t="s">
        <v>17</v>
      </c>
      <c r="J102" s="9">
        <v>5</v>
      </c>
      <c r="M102" s="9" t="str">
        <f t="shared" si="44"/>
        <v>GALDEANO(SCCP)</v>
      </c>
      <c r="N102" s="9" t="str">
        <f t="shared" si="45"/>
        <v>RAFAEL BALIEIRO(LTVL)</v>
      </c>
      <c r="O102" s="9" t="str">
        <f t="shared" si="46"/>
        <v>GALDEANO(SCCP)</v>
      </c>
      <c r="P102" s="9" t="str">
        <f t="shared" si="47"/>
        <v/>
      </c>
      <c r="Q102" s="9" t="str">
        <f t="shared" si="48"/>
        <v/>
      </c>
      <c r="R102" s="9" t="str">
        <f t="shared" si="49"/>
        <v>RAFAEL BALIEIRO(LTVL)</v>
      </c>
      <c r="S102" s="9" t="str">
        <f t="shared" si="50"/>
        <v>GALDEANO(SCCP)</v>
      </c>
      <c r="T102" s="9">
        <f t="shared" si="51"/>
        <v>3</v>
      </c>
      <c r="U102" s="9" t="str">
        <f t="shared" si="52"/>
        <v>RAFAEL BALIEIRO(LTVL)</v>
      </c>
      <c r="V102" s="9">
        <f t="shared" si="53"/>
        <v>2</v>
      </c>
      <c r="W102" s="9">
        <f t="shared" si="54"/>
        <v>3</v>
      </c>
    </row>
    <row r="103" spans="1:23" x14ac:dyDescent="0.2">
      <c r="A103" s="8">
        <v>30</v>
      </c>
      <c r="B103" s="19" t="str">
        <f>VLOOKUP($A103, Equipes!$A$3:$B$42, 2, FALSE)</f>
        <v>GUANABARA(LTVL)</v>
      </c>
      <c r="C103" s="18">
        <v>3</v>
      </c>
      <c r="D103" s="20" t="s">
        <v>22</v>
      </c>
      <c r="E103" s="18">
        <v>7</v>
      </c>
      <c r="F103" s="21" t="str">
        <f>VLOOKUP($G103, Equipes!$A$3:$B$42, 2, FALSE)</f>
        <v>PABLO MARTINS(SPFC)</v>
      </c>
      <c r="G103" s="22">
        <v>29</v>
      </c>
      <c r="H103" s="19">
        <v>14</v>
      </c>
      <c r="I103" s="19" t="s">
        <v>17</v>
      </c>
      <c r="J103" s="19">
        <v>5</v>
      </c>
      <c r="K103" s="19"/>
      <c r="M103" s="9" t="str">
        <f t="shared" si="44"/>
        <v>GUANABARA(LTVL)</v>
      </c>
      <c r="N103" s="9" t="str">
        <f t="shared" si="45"/>
        <v>PABLO MARTINS(SPFC)</v>
      </c>
      <c r="O103" s="9" t="str">
        <f t="shared" si="46"/>
        <v>PABLO MARTINS(SPFC)</v>
      </c>
      <c r="P103" s="9" t="str">
        <f t="shared" si="47"/>
        <v/>
      </c>
      <c r="Q103" s="9" t="str">
        <f t="shared" si="48"/>
        <v/>
      </c>
      <c r="R103" s="9" t="str">
        <f t="shared" si="49"/>
        <v>GUANABARA(LTVL)</v>
      </c>
      <c r="S103" s="9" t="str">
        <f t="shared" si="50"/>
        <v>GUANABARA(LTVL)</v>
      </c>
      <c r="T103" s="9">
        <f t="shared" si="51"/>
        <v>3</v>
      </c>
      <c r="U103" s="9" t="str">
        <f t="shared" si="52"/>
        <v>PABLO MARTINS(SPFC)</v>
      </c>
      <c r="V103" s="9">
        <f t="shared" si="53"/>
        <v>7</v>
      </c>
      <c r="W103" s="9">
        <f t="shared" si="54"/>
        <v>3</v>
      </c>
    </row>
    <row r="104" spans="1:23" x14ac:dyDescent="0.2">
      <c r="A104" s="8">
        <v>33</v>
      </c>
      <c r="B104" s="9" t="str">
        <f>VLOOKUP($A104, Equipes!$A$3:$B$42, 2, FALSE)</f>
        <v>LÉO CARIOCA(MZ)</v>
      </c>
      <c r="C104" s="18">
        <v>1</v>
      </c>
      <c r="D104" s="10" t="s">
        <v>22</v>
      </c>
      <c r="E104" s="18">
        <v>0</v>
      </c>
      <c r="F104" s="11" t="str">
        <f>VLOOKUP($G104, Equipes!$A$3:$B$42, 2, FALSE)</f>
        <v>RICARDO RAMALHO(BF)</v>
      </c>
      <c r="G104" s="8">
        <v>36</v>
      </c>
      <c r="H104" s="9">
        <v>20</v>
      </c>
      <c r="I104" s="9" t="s">
        <v>16</v>
      </c>
      <c r="J104" s="9">
        <v>5</v>
      </c>
      <c r="M104" s="9" t="str">
        <f t="shared" si="44"/>
        <v>LÉO CARIOCA(MZ)</v>
      </c>
      <c r="N104" s="9" t="str">
        <f t="shared" si="45"/>
        <v>RICARDO RAMALHO(BF)</v>
      </c>
      <c r="O104" s="9" t="str">
        <f t="shared" si="46"/>
        <v>LÉO CARIOCA(MZ)</v>
      </c>
      <c r="P104" s="9" t="str">
        <f t="shared" si="47"/>
        <v/>
      </c>
      <c r="Q104" s="9" t="str">
        <f t="shared" si="48"/>
        <v/>
      </c>
      <c r="R104" s="9" t="str">
        <f t="shared" si="49"/>
        <v>RICARDO RAMALHO(BF)</v>
      </c>
      <c r="S104" s="9" t="str">
        <f t="shared" si="50"/>
        <v>LÉO CARIOCA(MZ)</v>
      </c>
      <c r="T104" s="9">
        <f t="shared" si="51"/>
        <v>1</v>
      </c>
      <c r="U104" s="9" t="str">
        <f t="shared" si="52"/>
        <v>RICARDO RAMALHO(BF)</v>
      </c>
      <c r="V104" s="9">
        <f t="shared" si="53"/>
        <v>0</v>
      </c>
      <c r="W104" s="9">
        <f t="shared" si="54"/>
        <v>1</v>
      </c>
    </row>
    <row r="105" spans="1:23" x14ac:dyDescent="0.2">
      <c r="A105" s="8">
        <v>40</v>
      </c>
      <c r="B105" s="19" t="str">
        <f>VLOOKUP($A105, Equipes!$A$3:$B$42, 2, FALSE)</f>
        <v>PEPE 2004(CEPE)</v>
      </c>
      <c r="C105" s="18">
        <v>1</v>
      </c>
      <c r="D105" s="20" t="s">
        <v>22</v>
      </c>
      <c r="E105" s="18">
        <v>1</v>
      </c>
      <c r="F105" s="21" t="str">
        <f>VLOOKUP($G105, Equipes!$A$3:$B$42, 2, FALSE)</f>
        <v>TUPINAMBÁ(LTVL)</v>
      </c>
      <c r="G105" s="22">
        <v>35</v>
      </c>
      <c r="H105" s="19">
        <v>19</v>
      </c>
      <c r="I105" s="19" t="s">
        <v>16</v>
      </c>
      <c r="J105" s="19">
        <v>5</v>
      </c>
      <c r="K105" s="19"/>
      <c r="M105" s="9" t="str">
        <f t="shared" si="44"/>
        <v>PEPE 2004(CEPE)</v>
      </c>
      <c r="N105" s="9" t="str">
        <f t="shared" si="45"/>
        <v>TUPINAMBÁ(LTVL)</v>
      </c>
      <c r="O105" s="9" t="str">
        <f t="shared" si="46"/>
        <v/>
      </c>
      <c r="P105" s="9" t="str">
        <f t="shared" si="47"/>
        <v>PEPE 2004(CEPE)</v>
      </c>
      <c r="Q105" s="9" t="str">
        <f t="shared" si="48"/>
        <v>TUPINAMBÁ(LTVL)</v>
      </c>
      <c r="R105" s="9" t="str">
        <f t="shared" si="49"/>
        <v/>
      </c>
      <c r="S105" s="9" t="str">
        <f t="shared" si="50"/>
        <v>PEPE 2004(CEPE)</v>
      </c>
      <c r="T105" s="9">
        <f t="shared" si="51"/>
        <v>1</v>
      </c>
      <c r="U105" s="9" t="str">
        <f t="shared" si="52"/>
        <v>TUPINAMBÁ(LTVL)</v>
      </c>
      <c r="V105" s="9">
        <f t="shared" si="53"/>
        <v>1</v>
      </c>
      <c r="W105" s="9">
        <f t="shared" si="54"/>
        <v>1</v>
      </c>
    </row>
    <row r="106" spans="1:23" x14ac:dyDescent="0.2">
      <c r="A106" s="8">
        <v>39</v>
      </c>
      <c r="B106" s="9" t="str">
        <f>VLOOKUP($A106, Equipes!$A$3:$B$42, 2, FALSE)</f>
        <v>RODRIGO MORO(SCCP)</v>
      </c>
      <c r="C106" s="18">
        <v>3</v>
      </c>
      <c r="D106" s="10" t="s">
        <v>22</v>
      </c>
      <c r="E106" s="18">
        <v>2</v>
      </c>
      <c r="F106" s="11" t="str">
        <f>VLOOKUP($G106, Equipes!$A$3:$B$42, 2, FALSE)</f>
        <v>ZÉ LUIZ(SPFC)</v>
      </c>
      <c r="G106" s="8">
        <v>34</v>
      </c>
      <c r="H106" s="9">
        <v>1</v>
      </c>
      <c r="I106" s="9" t="s">
        <v>16</v>
      </c>
      <c r="J106" s="9">
        <v>5</v>
      </c>
      <c r="M106" s="9" t="str">
        <f t="shared" si="44"/>
        <v>RODRIGO MORO(SCCP)</v>
      </c>
      <c r="N106" s="9" t="str">
        <f t="shared" si="45"/>
        <v>ZÉ LUIZ(SPFC)</v>
      </c>
      <c r="O106" s="9" t="str">
        <f t="shared" si="46"/>
        <v>RODRIGO MORO(SCCP)</v>
      </c>
      <c r="P106" s="9" t="str">
        <f t="shared" si="47"/>
        <v/>
      </c>
      <c r="Q106" s="9" t="str">
        <f t="shared" si="48"/>
        <v/>
      </c>
      <c r="R106" s="9" t="str">
        <f t="shared" si="49"/>
        <v>ZÉ LUIZ(SPFC)</v>
      </c>
      <c r="S106" s="9" t="str">
        <f t="shared" si="50"/>
        <v>RODRIGO MORO(SCCP)</v>
      </c>
      <c r="T106" s="9">
        <f t="shared" si="51"/>
        <v>3</v>
      </c>
      <c r="U106" s="9" t="str">
        <f t="shared" si="52"/>
        <v>ZÉ LUIZ(SPFC)</v>
      </c>
      <c r="V106" s="9">
        <f t="shared" si="53"/>
        <v>2</v>
      </c>
      <c r="W106" s="9">
        <f t="shared" si="54"/>
        <v>3</v>
      </c>
    </row>
    <row r="107" spans="1:23" x14ac:dyDescent="0.2">
      <c r="A107" s="8">
        <v>38</v>
      </c>
      <c r="B107" s="19" t="str">
        <f>VLOOKUP($A107, Equipes!$A$3:$B$42, 2, FALSE)</f>
        <v>PAULO ROBERTO(SPFC)</v>
      </c>
      <c r="C107" s="18">
        <v>1</v>
      </c>
      <c r="D107" s="20" t="s">
        <v>22</v>
      </c>
      <c r="E107" s="18">
        <v>0</v>
      </c>
      <c r="F107" s="21" t="str">
        <f>VLOOKUP($G107, Equipes!$A$3:$B$42, 2, FALSE)</f>
        <v>BRAGHETTO(MZ)</v>
      </c>
      <c r="G107" s="22">
        <v>37</v>
      </c>
      <c r="H107" s="19">
        <v>16</v>
      </c>
      <c r="I107" s="19" t="s">
        <v>16</v>
      </c>
      <c r="J107" s="19">
        <v>5</v>
      </c>
      <c r="K107" s="19"/>
      <c r="M107" s="9" t="str">
        <f t="shared" si="44"/>
        <v>PAULO ROBERTO(SPFC)</v>
      </c>
      <c r="N107" s="9" t="str">
        <f t="shared" si="45"/>
        <v>BRAGHETTO(MZ)</v>
      </c>
      <c r="O107" s="9" t="str">
        <f t="shared" si="46"/>
        <v>PAULO ROBERTO(SPFC)</v>
      </c>
      <c r="P107" s="9" t="str">
        <f t="shared" si="47"/>
        <v/>
      </c>
      <c r="Q107" s="9" t="str">
        <f t="shared" si="48"/>
        <v/>
      </c>
      <c r="R107" s="9" t="str">
        <f t="shared" si="49"/>
        <v>BRAGHETTO(MZ)</v>
      </c>
      <c r="S107" s="9" t="str">
        <f t="shared" si="50"/>
        <v>PAULO ROBERTO(SPFC)</v>
      </c>
      <c r="T107" s="9">
        <f t="shared" si="51"/>
        <v>1</v>
      </c>
      <c r="U107" s="9" t="str">
        <f t="shared" si="52"/>
        <v>BRAGHETTO(MZ)</v>
      </c>
      <c r="V107" s="9">
        <f t="shared" si="53"/>
        <v>0</v>
      </c>
      <c r="W107" s="9">
        <f t="shared" si="54"/>
        <v>1</v>
      </c>
    </row>
    <row r="108" spans="1:23" x14ac:dyDescent="0.2">
      <c r="B108" s="13" t="s">
        <v>30</v>
      </c>
      <c r="C108" s="14"/>
      <c r="D108" s="14"/>
      <c r="E108" s="14"/>
      <c r="F108" s="15"/>
      <c r="G108" s="16"/>
      <c r="H108" s="13" t="s">
        <v>11</v>
      </c>
      <c r="I108" s="13" t="s">
        <v>12</v>
      </c>
      <c r="J108" s="13" t="s">
        <v>13</v>
      </c>
      <c r="K108" s="17">
        <f>K3 + TIME(0,100,0)</f>
        <v>45340.583333333336</v>
      </c>
      <c r="M108" s="12" t="s">
        <v>14</v>
      </c>
      <c r="N108" s="12" t="s">
        <v>14</v>
      </c>
      <c r="O108" s="12" t="s">
        <v>15</v>
      </c>
      <c r="P108" s="12" t="s">
        <v>16</v>
      </c>
      <c r="Q108" s="12" t="s">
        <v>16</v>
      </c>
      <c r="R108" s="12" t="s">
        <v>17</v>
      </c>
      <c r="S108" s="12" t="s">
        <v>18</v>
      </c>
      <c r="T108" s="12" t="s">
        <v>19</v>
      </c>
      <c r="U108" s="12" t="s">
        <v>15</v>
      </c>
      <c r="V108" s="12" t="s">
        <v>20</v>
      </c>
      <c r="W108" s="12" t="s">
        <v>21</v>
      </c>
    </row>
    <row r="109" spans="1:23" x14ac:dyDescent="0.2">
      <c r="A109" s="8">
        <v>1</v>
      </c>
      <c r="B109" s="19" t="str">
        <f>VLOOKUP($A109, Equipes!$A$3:$B$42, 2, FALSE)</f>
        <v>RUAS(CEPE)</v>
      </c>
      <c r="C109" s="18">
        <v>3</v>
      </c>
      <c r="D109" s="20" t="s">
        <v>22</v>
      </c>
      <c r="E109" s="18">
        <v>3</v>
      </c>
      <c r="F109" s="21" t="str">
        <f>VLOOKUP($G109, Equipes!$A$3:$B$42, 2, FALSE)</f>
        <v>SALLYS(SPFC)</v>
      </c>
      <c r="G109" s="22">
        <v>3</v>
      </c>
      <c r="H109" s="19">
        <v>2</v>
      </c>
      <c r="I109" s="19" t="s">
        <v>23</v>
      </c>
      <c r="J109" s="19">
        <v>6</v>
      </c>
      <c r="K109" s="19"/>
      <c r="M109" s="9" t="str">
        <f t="shared" ref="M109:M128" si="55">IF(OR(C109 = "",E109 = ""), "", B109)</f>
        <v>RUAS(CEPE)</v>
      </c>
      <c r="N109" s="9" t="str">
        <f t="shared" ref="N109:N128" si="56">IF(OR(C109 = "",E109 = ""), "", F109)</f>
        <v>SALLYS(SPFC)</v>
      </c>
      <c r="O109" s="9" t="str">
        <f t="shared" ref="O109:O128" si="57">IF(C109&gt;E109,B109, IF(E109&gt;C109,F109, ""))</f>
        <v/>
      </c>
      <c r="P109" s="9" t="str">
        <f t="shared" ref="P109:P128" si="58">IF(OR(C109 = "",E109 = ""), "", IF(C109=E109,B109, ""))</f>
        <v>RUAS(CEPE)</v>
      </c>
      <c r="Q109" s="9" t="str">
        <f t="shared" ref="Q109:Q128" si="59">IF(OR(C109 = "",E109 = ""), "", IF(C109=E109,F109, ""))</f>
        <v>SALLYS(SPFC)</v>
      </c>
      <c r="R109" s="9" t="str">
        <f t="shared" ref="R109:R128" si="60">IF(C109&gt;E109,F109, IF(E109&gt;C109,B109, ""))</f>
        <v/>
      </c>
      <c r="S109" s="9" t="str">
        <f t="shared" ref="S109:S128" si="61">IF(OR(C109 = "",E109 = ""), "", B109)</f>
        <v>RUAS(CEPE)</v>
      </c>
      <c r="T109" s="9">
        <f t="shared" ref="T109:T128" si="62">IF(C109 = "", "", C109)</f>
        <v>3</v>
      </c>
      <c r="U109" s="9" t="str">
        <f t="shared" ref="U109:U128" si="63">IF(OR(C109 = "",E109 = ""), "", F109)</f>
        <v>SALLYS(SPFC)</v>
      </c>
      <c r="V109" s="9">
        <f t="shared" ref="V109:V128" si="64">IF(E109 = "", "", E109)</f>
        <v>3</v>
      </c>
      <c r="W109" s="9">
        <f t="shared" ref="W109:W128" si="65">IF(C109 = "", "", C109)</f>
        <v>3</v>
      </c>
    </row>
    <row r="110" spans="1:23" x14ac:dyDescent="0.2">
      <c r="A110" s="8">
        <v>4</v>
      </c>
      <c r="B110" s="9" t="str">
        <f>VLOOKUP($A110, Equipes!$A$3:$B$42, 2, FALSE)</f>
        <v>PROFESSOR(LTVL)</v>
      </c>
      <c r="C110" s="18">
        <v>0</v>
      </c>
      <c r="D110" s="10" t="s">
        <v>22</v>
      </c>
      <c r="E110" s="18">
        <v>3</v>
      </c>
      <c r="F110" s="11" t="str">
        <f>VLOOKUP($G110, Equipes!$A$3:$B$42, 2, FALSE)</f>
        <v>MARCOS WILLOW(SCCP)</v>
      </c>
      <c r="G110" s="8">
        <v>2</v>
      </c>
      <c r="H110" s="9">
        <v>12</v>
      </c>
      <c r="I110" s="9" t="s">
        <v>23</v>
      </c>
      <c r="J110" s="9">
        <v>6</v>
      </c>
      <c r="M110" s="9" t="str">
        <f t="shared" si="55"/>
        <v>PROFESSOR(LTVL)</v>
      </c>
      <c r="N110" s="9" t="str">
        <f t="shared" si="56"/>
        <v>MARCOS WILLOW(SCCP)</v>
      </c>
      <c r="O110" s="9" t="str">
        <f t="shared" si="57"/>
        <v>MARCOS WILLOW(SCCP)</v>
      </c>
      <c r="P110" s="9" t="str">
        <f t="shared" si="58"/>
        <v/>
      </c>
      <c r="Q110" s="9" t="str">
        <f t="shared" si="59"/>
        <v/>
      </c>
      <c r="R110" s="9" t="str">
        <f t="shared" si="60"/>
        <v>PROFESSOR(LTVL)</v>
      </c>
      <c r="S110" s="9" t="str">
        <f t="shared" si="61"/>
        <v>PROFESSOR(LTVL)</v>
      </c>
      <c r="T110" s="9">
        <f t="shared" si="62"/>
        <v>0</v>
      </c>
      <c r="U110" s="9" t="str">
        <f t="shared" si="63"/>
        <v>MARCOS WILLOW(SCCP)</v>
      </c>
      <c r="V110" s="9">
        <f t="shared" si="64"/>
        <v>3</v>
      </c>
      <c r="W110" s="9">
        <f t="shared" si="65"/>
        <v>0</v>
      </c>
    </row>
    <row r="111" spans="1:23" x14ac:dyDescent="0.2">
      <c r="A111" s="8">
        <v>8</v>
      </c>
      <c r="B111" s="19" t="str">
        <f>VLOOKUP($A111, Equipes!$A$3:$B$42, 2, FALSE)</f>
        <v>CORTEZ(MZ)</v>
      </c>
      <c r="C111" s="18">
        <v>2</v>
      </c>
      <c r="D111" s="20" t="s">
        <v>22</v>
      </c>
      <c r="E111" s="18">
        <v>0</v>
      </c>
      <c r="F111" s="21" t="str">
        <f>VLOOKUP($G111, Equipes!$A$3:$B$42, 2, FALSE)</f>
        <v>CLÉO JR (CEPE)</v>
      </c>
      <c r="G111" s="22">
        <v>5</v>
      </c>
      <c r="H111" s="19">
        <v>4</v>
      </c>
      <c r="I111" s="19" t="s">
        <v>23</v>
      </c>
      <c r="J111" s="19">
        <v>6</v>
      </c>
      <c r="K111" s="19"/>
      <c r="M111" s="9" t="str">
        <f t="shared" si="55"/>
        <v>CORTEZ(MZ)</v>
      </c>
      <c r="N111" s="9" t="str">
        <f t="shared" si="56"/>
        <v>CLÉO JR (CEPE)</v>
      </c>
      <c r="O111" s="9" t="str">
        <f t="shared" si="57"/>
        <v>CORTEZ(MZ)</v>
      </c>
      <c r="P111" s="9" t="str">
        <f t="shared" si="58"/>
        <v/>
      </c>
      <c r="Q111" s="9" t="str">
        <f t="shared" si="59"/>
        <v/>
      </c>
      <c r="R111" s="9" t="str">
        <f t="shared" si="60"/>
        <v>CLÉO JR (CEPE)</v>
      </c>
      <c r="S111" s="9" t="str">
        <f t="shared" si="61"/>
        <v>CORTEZ(MZ)</v>
      </c>
      <c r="T111" s="9">
        <f t="shared" si="62"/>
        <v>2</v>
      </c>
      <c r="U111" s="9" t="str">
        <f t="shared" si="63"/>
        <v>CLÉO JR (CEPE)</v>
      </c>
      <c r="V111" s="9">
        <f t="shared" si="64"/>
        <v>0</v>
      </c>
      <c r="W111" s="9">
        <f t="shared" si="65"/>
        <v>2</v>
      </c>
    </row>
    <row r="112" spans="1:23" x14ac:dyDescent="0.2">
      <c r="A112" s="8">
        <v>7</v>
      </c>
      <c r="B112" s="9" t="str">
        <f>VLOOKUP($A112, Equipes!$A$3:$B$42, 2, FALSE)</f>
        <v>AURÉLIO(BF)</v>
      </c>
      <c r="C112" s="18">
        <v>2</v>
      </c>
      <c r="D112" s="10" t="s">
        <v>22</v>
      </c>
      <c r="E112" s="18">
        <v>1</v>
      </c>
      <c r="F112" s="11" t="str">
        <f>VLOOKUP($G112, Equipes!$A$3:$B$42, 2, FALSE)</f>
        <v>COELHO(SCCP)</v>
      </c>
      <c r="G112" s="8">
        <v>6</v>
      </c>
      <c r="H112" s="9">
        <v>3</v>
      </c>
      <c r="I112" s="9" t="s">
        <v>23</v>
      </c>
      <c r="J112" s="9">
        <v>6</v>
      </c>
      <c r="M112" s="9" t="str">
        <f t="shared" si="55"/>
        <v>AURÉLIO(BF)</v>
      </c>
      <c r="N112" s="9" t="str">
        <f t="shared" si="56"/>
        <v>COELHO(SCCP)</v>
      </c>
      <c r="O112" s="9" t="str">
        <f t="shared" si="57"/>
        <v>AURÉLIO(BF)</v>
      </c>
      <c r="P112" s="9" t="str">
        <f t="shared" si="58"/>
        <v/>
      </c>
      <c r="Q112" s="9" t="str">
        <f t="shared" si="59"/>
        <v/>
      </c>
      <c r="R112" s="9" t="str">
        <f t="shared" si="60"/>
        <v>COELHO(SCCP)</v>
      </c>
      <c r="S112" s="9" t="str">
        <f t="shared" si="61"/>
        <v>AURÉLIO(BF)</v>
      </c>
      <c r="T112" s="9">
        <f t="shared" si="62"/>
        <v>2</v>
      </c>
      <c r="U112" s="9" t="str">
        <f t="shared" si="63"/>
        <v>COELHO(SCCP)</v>
      </c>
      <c r="V112" s="9">
        <f t="shared" si="64"/>
        <v>1</v>
      </c>
      <c r="W112" s="9">
        <f t="shared" si="65"/>
        <v>2</v>
      </c>
    </row>
    <row r="113" spans="1:23" x14ac:dyDescent="0.2">
      <c r="A113" s="8">
        <v>9</v>
      </c>
      <c r="B113" s="19" t="str">
        <f>VLOOKUP($A113, Equipes!$A$3:$B$42, 2, FALSE)</f>
        <v>TABAJARA(CEPE)</v>
      </c>
      <c r="C113" s="18">
        <v>3</v>
      </c>
      <c r="D113" s="20" t="s">
        <v>22</v>
      </c>
      <c r="E113" s="18">
        <v>3</v>
      </c>
      <c r="F113" s="21" t="str">
        <f>VLOOKUP($G113, Equipes!$A$3:$B$42, 2, FALSE)</f>
        <v>ELSIO(SPFC)</v>
      </c>
      <c r="G113" s="22">
        <v>11</v>
      </c>
      <c r="H113" s="19">
        <v>14</v>
      </c>
      <c r="I113" s="19" t="s">
        <v>24</v>
      </c>
      <c r="J113" s="19">
        <v>6</v>
      </c>
      <c r="K113" s="19"/>
      <c r="M113" s="9" t="str">
        <f t="shared" si="55"/>
        <v>TABAJARA(CEPE)</v>
      </c>
      <c r="N113" s="9" t="str">
        <f t="shared" si="56"/>
        <v>ELSIO(SPFC)</v>
      </c>
      <c r="O113" s="9" t="str">
        <f t="shared" si="57"/>
        <v/>
      </c>
      <c r="P113" s="9" t="str">
        <f t="shared" si="58"/>
        <v>TABAJARA(CEPE)</v>
      </c>
      <c r="Q113" s="9" t="str">
        <f t="shared" si="59"/>
        <v>ELSIO(SPFC)</v>
      </c>
      <c r="R113" s="9" t="str">
        <f t="shared" si="60"/>
        <v/>
      </c>
      <c r="S113" s="9" t="str">
        <f t="shared" si="61"/>
        <v>TABAJARA(CEPE)</v>
      </c>
      <c r="T113" s="9">
        <f t="shared" si="62"/>
        <v>3</v>
      </c>
      <c r="U113" s="9" t="str">
        <f t="shared" si="63"/>
        <v>ELSIO(SPFC)</v>
      </c>
      <c r="V113" s="9">
        <f t="shared" si="64"/>
        <v>3</v>
      </c>
      <c r="W113" s="9">
        <f t="shared" si="65"/>
        <v>3</v>
      </c>
    </row>
    <row r="114" spans="1:23" x14ac:dyDescent="0.2">
      <c r="A114" s="8">
        <v>12</v>
      </c>
      <c r="B114" s="9" t="str">
        <f>VLOOKUP($A114, Equipes!$A$3:$B$42, 2, FALSE)</f>
        <v>MARIELCIO(LTVL)</v>
      </c>
      <c r="C114" s="18">
        <v>1</v>
      </c>
      <c r="D114" s="10" t="s">
        <v>22</v>
      </c>
      <c r="E114" s="18">
        <v>1</v>
      </c>
      <c r="F114" s="11" t="str">
        <f>VLOOKUP($G114, Equipes!$A$3:$B$42, 2, FALSE)</f>
        <v>REGINALDO(SCCP)</v>
      </c>
      <c r="G114" s="8">
        <v>10</v>
      </c>
      <c r="H114" s="9">
        <v>9</v>
      </c>
      <c r="I114" s="9" t="s">
        <v>24</v>
      </c>
      <c r="J114" s="9">
        <v>6</v>
      </c>
      <c r="M114" s="9" t="str">
        <f t="shared" si="55"/>
        <v>MARIELCIO(LTVL)</v>
      </c>
      <c r="N114" s="9" t="str">
        <f t="shared" si="56"/>
        <v>REGINALDO(SCCP)</v>
      </c>
      <c r="O114" s="9" t="str">
        <f t="shared" si="57"/>
        <v/>
      </c>
      <c r="P114" s="9" t="str">
        <f t="shared" si="58"/>
        <v>MARIELCIO(LTVL)</v>
      </c>
      <c r="Q114" s="9" t="str">
        <f t="shared" si="59"/>
        <v>REGINALDO(SCCP)</v>
      </c>
      <c r="R114" s="9" t="str">
        <f t="shared" si="60"/>
        <v/>
      </c>
      <c r="S114" s="9" t="str">
        <f t="shared" si="61"/>
        <v>MARIELCIO(LTVL)</v>
      </c>
      <c r="T114" s="9">
        <f t="shared" si="62"/>
        <v>1</v>
      </c>
      <c r="U114" s="9" t="str">
        <f t="shared" si="63"/>
        <v>REGINALDO(SCCP)</v>
      </c>
      <c r="V114" s="9">
        <f t="shared" si="64"/>
        <v>1</v>
      </c>
      <c r="W114" s="9">
        <f t="shared" si="65"/>
        <v>1</v>
      </c>
    </row>
    <row r="115" spans="1:23" x14ac:dyDescent="0.2">
      <c r="A115" s="8">
        <v>16</v>
      </c>
      <c r="B115" s="19" t="str">
        <f>VLOOKUP($A115, Equipes!$A$3:$B$42, 2, FALSE)</f>
        <v>LUIZ COELHO(MZ)</v>
      </c>
      <c r="C115" s="18">
        <v>2</v>
      </c>
      <c r="D115" s="20" t="s">
        <v>22</v>
      </c>
      <c r="E115" s="18">
        <v>2</v>
      </c>
      <c r="F115" s="21" t="str">
        <f>VLOOKUP($G115, Equipes!$A$3:$B$42, 2, FALSE)</f>
        <v>DIOGO(CEPE)</v>
      </c>
      <c r="G115" s="22">
        <v>13</v>
      </c>
      <c r="H115" s="19">
        <v>16</v>
      </c>
      <c r="I115" s="19" t="s">
        <v>24</v>
      </c>
      <c r="J115" s="19">
        <v>6</v>
      </c>
      <c r="K115" s="19"/>
      <c r="M115" s="9" t="str">
        <f t="shared" si="55"/>
        <v>LUIZ COELHO(MZ)</v>
      </c>
      <c r="N115" s="9" t="str">
        <f t="shared" si="56"/>
        <v>DIOGO(CEPE)</v>
      </c>
      <c r="O115" s="9" t="str">
        <f t="shared" si="57"/>
        <v/>
      </c>
      <c r="P115" s="9" t="str">
        <f t="shared" si="58"/>
        <v>LUIZ COELHO(MZ)</v>
      </c>
      <c r="Q115" s="9" t="str">
        <f t="shared" si="59"/>
        <v>DIOGO(CEPE)</v>
      </c>
      <c r="R115" s="9" t="str">
        <f t="shared" si="60"/>
        <v/>
      </c>
      <c r="S115" s="9" t="str">
        <f t="shared" si="61"/>
        <v>LUIZ COELHO(MZ)</v>
      </c>
      <c r="T115" s="9">
        <f t="shared" si="62"/>
        <v>2</v>
      </c>
      <c r="U115" s="9" t="str">
        <f t="shared" si="63"/>
        <v>DIOGO(CEPE)</v>
      </c>
      <c r="V115" s="9">
        <f t="shared" si="64"/>
        <v>2</v>
      </c>
      <c r="W115" s="9">
        <f t="shared" si="65"/>
        <v>2</v>
      </c>
    </row>
    <row r="116" spans="1:23" x14ac:dyDescent="0.2">
      <c r="A116" s="8">
        <v>15</v>
      </c>
      <c r="B116" s="9" t="str">
        <f>VLOOKUP($A116, Equipes!$A$3:$B$42, 2, FALSE)</f>
        <v>AUGUSTO(BF)</v>
      </c>
      <c r="C116" s="18">
        <v>1</v>
      </c>
      <c r="D116" s="10" t="s">
        <v>22</v>
      </c>
      <c r="E116" s="18">
        <v>2</v>
      </c>
      <c r="F116" s="11" t="str">
        <f>VLOOKUP($G116, Equipes!$A$3:$B$42, 2, FALSE)</f>
        <v>VINICIUS ROLIM(SCCP)</v>
      </c>
      <c r="G116" s="8">
        <v>14</v>
      </c>
      <c r="H116" s="9">
        <v>11</v>
      </c>
      <c r="I116" s="9" t="s">
        <v>24</v>
      </c>
      <c r="J116" s="9">
        <v>6</v>
      </c>
      <c r="M116" s="9" t="str">
        <f t="shared" si="55"/>
        <v>AUGUSTO(BF)</v>
      </c>
      <c r="N116" s="9" t="str">
        <f t="shared" si="56"/>
        <v>VINICIUS ROLIM(SCCP)</v>
      </c>
      <c r="O116" s="9" t="str">
        <f t="shared" si="57"/>
        <v>VINICIUS ROLIM(SCCP)</v>
      </c>
      <c r="P116" s="9" t="str">
        <f t="shared" si="58"/>
        <v/>
      </c>
      <c r="Q116" s="9" t="str">
        <f t="shared" si="59"/>
        <v/>
      </c>
      <c r="R116" s="9" t="str">
        <f t="shared" si="60"/>
        <v>AUGUSTO(BF)</v>
      </c>
      <c r="S116" s="9" t="str">
        <f t="shared" si="61"/>
        <v>AUGUSTO(BF)</v>
      </c>
      <c r="T116" s="9">
        <f t="shared" si="62"/>
        <v>1</v>
      </c>
      <c r="U116" s="9" t="str">
        <f t="shared" si="63"/>
        <v>VINICIUS ROLIM(SCCP)</v>
      </c>
      <c r="V116" s="9">
        <f t="shared" si="64"/>
        <v>2</v>
      </c>
      <c r="W116" s="9">
        <f t="shared" si="65"/>
        <v>1</v>
      </c>
    </row>
    <row r="117" spans="1:23" x14ac:dyDescent="0.2">
      <c r="A117" s="8">
        <v>17</v>
      </c>
      <c r="B117" s="19" t="str">
        <f>VLOOKUP($A117, Equipes!$A$3:$B$42, 2, FALSE)</f>
        <v>AFONSO(CEPE)</v>
      </c>
      <c r="C117" s="18">
        <v>1</v>
      </c>
      <c r="D117" s="20" t="s">
        <v>22</v>
      </c>
      <c r="E117" s="18">
        <v>2</v>
      </c>
      <c r="F117" s="21" t="str">
        <f>VLOOKUP($G117, Equipes!$A$3:$B$42, 2, FALSE)</f>
        <v>WAGNER(SPFC)</v>
      </c>
      <c r="G117" s="22">
        <v>19</v>
      </c>
      <c r="H117" s="19">
        <v>8</v>
      </c>
      <c r="I117" s="19" t="s">
        <v>25</v>
      </c>
      <c r="J117" s="19">
        <v>6</v>
      </c>
      <c r="K117" s="19"/>
      <c r="M117" s="9" t="str">
        <f t="shared" si="55"/>
        <v>AFONSO(CEPE)</v>
      </c>
      <c r="N117" s="9" t="str">
        <f t="shared" si="56"/>
        <v>WAGNER(SPFC)</v>
      </c>
      <c r="O117" s="9" t="str">
        <f t="shared" si="57"/>
        <v>WAGNER(SPFC)</v>
      </c>
      <c r="P117" s="9" t="str">
        <f t="shared" si="58"/>
        <v/>
      </c>
      <c r="Q117" s="9" t="str">
        <f t="shared" si="59"/>
        <v/>
      </c>
      <c r="R117" s="9" t="str">
        <f t="shared" si="60"/>
        <v>AFONSO(CEPE)</v>
      </c>
      <c r="S117" s="9" t="str">
        <f t="shared" si="61"/>
        <v>AFONSO(CEPE)</v>
      </c>
      <c r="T117" s="9">
        <f t="shared" si="62"/>
        <v>1</v>
      </c>
      <c r="U117" s="9" t="str">
        <f t="shared" si="63"/>
        <v>WAGNER(SPFC)</v>
      </c>
      <c r="V117" s="9">
        <f t="shared" si="64"/>
        <v>2</v>
      </c>
      <c r="W117" s="9">
        <f t="shared" si="65"/>
        <v>1</v>
      </c>
    </row>
    <row r="118" spans="1:23" x14ac:dyDescent="0.2">
      <c r="A118" s="8">
        <v>20</v>
      </c>
      <c r="B118" s="9" t="str">
        <f>VLOOKUP($A118, Equipes!$A$3:$B$42, 2, FALSE)</f>
        <v>MARCOS MATTOS(BF)</v>
      </c>
      <c r="C118" s="18">
        <v>1</v>
      </c>
      <c r="D118" s="10" t="s">
        <v>22</v>
      </c>
      <c r="E118" s="18">
        <v>0</v>
      </c>
      <c r="F118" s="11" t="str">
        <f>VLOOKUP($G118, Equipes!$A$3:$B$42, 2, FALSE)</f>
        <v>MARIELCINHO(LTVL)</v>
      </c>
      <c r="G118" s="8">
        <v>18</v>
      </c>
      <c r="H118" s="9">
        <v>10</v>
      </c>
      <c r="I118" s="9" t="s">
        <v>25</v>
      </c>
      <c r="J118" s="9">
        <v>6</v>
      </c>
      <c r="M118" s="9" t="str">
        <f t="shared" si="55"/>
        <v>MARCOS MATTOS(BF)</v>
      </c>
      <c r="N118" s="9" t="str">
        <f t="shared" si="56"/>
        <v>MARIELCINHO(LTVL)</v>
      </c>
      <c r="O118" s="9" t="str">
        <f t="shared" si="57"/>
        <v>MARCOS MATTOS(BF)</v>
      </c>
      <c r="P118" s="9" t="str">
        <f t="shared" si="58"/>
        <v/>
      </c>
      <c r="Q118" s="9" t="str">
        <f t="shared" si="59"/>
        <v/>
      </c>
      <c r="R118" s="9" t="str">
        <f t="shared" si="60"/>
        <v>MARIELCINHO(LTVL)</v>
      </c>
      <c r="S118" s="9" t="str">
        <f t="shared" si="61"/>
        <v>MARCOS MATTOS(BF)</v>
      </c>
      <c r="T118" s="9">
        <f t="shared" si="62"/>
        <v>1</v>
      </c>
      <c r="U118" s="9" t="str">
        <f t="shared" si="63"/>
        <v>MARIELCINHO(LTVL)</v>
      </c>
      <c r="V118" s="9">
        <f t="shared" si="64"/>
        <v>0</v>
      </c>
      <c r="W118" s="9">
        <f t="shared" si="65"/>
        <v>1</v>
      </c>
    </row>
    <row r="119" spans="1:23" x14ac:dyDescent="0.2">
      <c r="A119" s="8">
        <v>24</v>
      </c>
      <c r="B119" s="19" t="str">
        <f>VLOOKUP($A119, Equipes!$A$3:$B$42, 2, FALSE)</f>
        <v>MARIO MILI(MZ)</v>
      </c>
      <c r="C119" s="18">
        <v>0</v>
      </c>
      <c r="D119" s="20" t="s">
        <v>22</v>
      </c>
      <c r="E119" s="18">
        <v>1</v>
      </c>
      <c r="F119" s="21" t="str">
        <f>VLOOKUP($G119, Equipes!$A$3:$B$42, 2, FALSE)</f>
        <v>FÉLIX(CEPE)</v>
      </c>
      <c r="G119" s="22">
        <v>21</v>
      </c>
      <c r="H119" s="19">
        <v>1</v>
      </c>
      <c r="I119" s="19" t="s">
        <v>25</v>
      </c>
      <c r="J119" s="19">
        <v>6</v>
      </c>
      <c r="K119" s="19"/>
      <c r="M119" s="9" t="str">
        <f t="shared" si="55"/>
        <v>MARIO MILI(MZ)</v>
      </c>
      <c r="N119" s="9" t="str">
        <f t="shared" si="56"/>
        <v>FÉLIX(CEPE)</v>
      </c>
      <c r="O119" s="9" t="str">
        <f t="shared" si="57"/>
        <v>FÉLIX(CEPE)</v>
      </c>
      <c r="P119" s="9" t="str">
        <f t="shared" si="58"/>
        <v/>
      </c>
      <c r="Q119" s="9" t="str">
        <f t="shared" si="59"/>
        <v/>
      </c>
      <c r="R119" s="9" t="str">
        <f t="shared" si="60"/>
        <v>MARIO MILI(MZ)</v>
      </c>
      <c r="S119" s="9" t="str">
        <f t="shared" si="61"/>
        <v>MARIO MILI(MZ)</v>
      </c>
      <c r="T119" s="9">
        <f t="shared" si="62"/>
        <v>0</v>
      </c>
      <c r="U119" s="9" t="str">
        <f t="shared" si="63"/>
        <v>FÉLIX(CEPE)</v>
      </c>
      <c r="V119" s="9">
        <f t="shared" si="64"/>
        <v>1</v>
      </c>
      <c r="W119" s="9">
        <f t="shared" si="65"/>
        <v>0</v>
      </c>
    </row>
    <row r="120" spans="1:23" x14ac:dyDescent="0.2">
      <c r="A120" s="8">
        <v>23</v>
      </c>
      <c r="B120" s="9" t="str">
        <f>VLOOKUP($A120, Equipes!$A$3:$B$42, 2, FALSE)</f>
        <v>SÉRGIO BARREIRA(SCCP)</v>
      </c>
      <c r="C120" s="18">
        <v>1</v>
      </c>
      <c r="D120" s="10" t="s">
        <v>22</v>
      </c>
      <c r="E120" s="18">
        <v>0</v>
      </c>
      <c r="F120" s="11" t="str">
        <f>VLOOKUP($G120, Equipes!$A$3:$B$42, 2, FALSE)</f>
        <v>ELCIO(LTVL)</v>
      </c>
      <c r="G120" s="8">
        <v>22</v>
      </c>
      <c r="H120" s="9">
        <v>7</v>
      </c>
      <c r="I120" s="9" t="s">
        <v>25</v>
      </c>
      <c r="J120" s="9">
        <v>6</v>
      </c>
      <c r="M120" s="9" t="str">
        <f t="shared" si="55"/>
        <v>SÉRGIO BARREIRA(SCCP)</v>
      </c>
      <c r="N120" s="9" t="str">
        <f t="shared" si="56"/>
        <v>ELCIO(LTVL)</v>
      </c>
      <c r="O120" s="9" t="str">
        <f t="shared" si="57"/>
        <v>SÉRGIO BARREIRA(SCCP)</v>
      </c>
      <c r="P120" s="9" t="str">
        <f t="shared" si="58"/>
        <v/>
      </c>
      <c r="Q120" s="9" t="str">
        <f t="shared" si="59"/>
        <v/>
      </c>
      <c r="R120" s="9" t="str">
        <f t="shared" si="60"/>
        <v>ELCIO(LTVL)</v>
      </c>
      <c r="S120" s="9" t="str">
        <f t="shared" si="61"/>
        <v>SÉRGIO BARREIRA(SCCP)</v>
      </c>
      <c r="T120" s="9">
        <f t="shared" si="62"/>
        <v>1</v>
      </c>
      <c r="U120" s="9" t="str">
        <f t="shared" si="63"/>
        <v>ELCIO(LTVL)</v>
      </c>
      <c r="V120" s="9">
        <f t="shared" si="64"/>
        <v>0</v>
      </c>
      <c r="W120" s="9">
        <f t="shared" si="65"/>
        <v>1</v>
      </c>
    </row>
    <row r="121" spans="1:23" x14ac:dyDescent="0.2">
      <c r="A121" s="8">
        <v>25</v>
      </c>
      <c r="B121" s="19" t="str">
        <f>VLOOKUP($A121, Equipes!$A$3:$B$42, 2, FALSE)</f>
        <v>MARCÃO SILVA(SPFC)</v>
      </c>
      <c r="C121" s="18">
        <v>2</v>
      </c>
      <c r="D121" s="20" t="s">
        <v>22</v>
      </c>
      <c r="E121" s="18">
        <v>1</v>
      </c>
      <c r="F121" s="21" t="str">
        <f>VLOOKUP($G121, Equipes!$A$3:$B$42, 2, FALSE)</f>
        <v>DJ IURY(BF)</v>
      </c>
      <c r="G121" s="22">
        <v>27</v>
      </c>
      <c r="H121" s="19">
        <v>15</v>
      </c>
      <c r="I121" s="19" t="s">
        <v>17</v>
      </c>
      <c r="J121" s="19">
        <v>6</v>
      </c>
      <c r="K121" s="19"/>
      <c r="M121" s="9" t="str">
        <f t="shared" si="55"/>
        <v>MARCÃO SILVA(SPFC)</v>
      </c>
      <c r="N121" s="9" t="str">
        <f t="shared" si="56"/>
        <v>DJ IURY(BF)</v>
      </c>
      <c r="O121" s="9" t="str">
        <f t="shared" si="57"/>
        <v>MARCÃO SILVA(SPFC)</v>
      </c>
      <c r="P121" s="9" t="str">
        <f t="shared" si="58"/>
        <v/>
      </c>
      <c r="Q121" s="9" t="str">
        <f t="shared" si="59"/>
        <v/>
      </c>
      <c r="R121" s="9" t="str">
        <f t="shared" si="60"/>
        <v>DJ IURY(BF)</v>
      </c>
      <c r="S121" s="9" t="str">
        <f t="shared" si="61"/>
        <v>MARCÃO SILVA(SPFC)</v>
      </c>
      <c r="T121" s="9">
        <f t="shared" si="62"/>
        <v>2</v>
      </c>
      <c r="U121" s="9" t="str">
        <f t="shared" si="63"/>
        <v>DJ IURY(BF)</v>
      </c>
      <c r="V121" s="9">
        <f t="shared" si="64"/>
        <v>1</v>
      </c>
      <c r="W121" s="9">
        <f t="shared" si="65"/>
        <v>2</v>
      </c>
    </row>
    <row r="122" spans="1:23" x14ac:dyDescent="0.2">
      <c r="A122" s="8">
        <v>28</v>
      </c>
      <c r="B122" s="9" t="str">
        <f>VLOOKUP($A122, Equipes!$A$3:$B$42, 2, FALSE)</f>
        <v>CHARLEAUX(CEPE)</v>
      </c>
      <c r="C122" s="18">
        <v>1</v>
      </c>
      <c r="D122" s="10" t="s">
        <v>22</v>
      </c>
      <c r="E122" s="18">
        <v>1</v>
      </c>
      <c r="F122" s="11" t="str">
        <f>VLOOKUP($G122, Equipes!$A$3:$B$42, 2, FALSE)</f>
        <v>RAFAEL BALIEIRO(LTVL)</v>
      </c>
      <c r="G122" s="8">
        <v>26</v>
      </c>
      <c r="H122" s="9">
        <v>18</v>
      </c>
      <c r="I122" s="9" t="s">
        <v>17</v>
      </c>
      <c r="J122" s="9">
        <v>6</v>
      </c>
      <c r="M122" s="9" t="str">
        <f t="shared" si="55"/>
        <v>CHARLEAUX(CEPE)</v>
      </c>
      <c r="N122" s="9" t="str">
        <f t="shared" si="56"/>
        <v>RAFAEL BALIEIRO(LTVL)</v>
      </c>
      <c r="O122" s="9" t="str">
        <f t="shared" si="57"/>
        <v/>
      </c>
      <c r="P122" s="9" t="str">
        <f t="shared" si="58"/>
        <v>CHARLEAUX(CEPE)</v>
      </c>
      <c r="Q122" s="9" t="str">
        <f t="shared" si="59"/>
        <v>RAFAEL BALIEIRO(LTVL)</v>
      </c>
      <c r="R122" s="9" t="str">
        <f t="shared" si="60"/>
        <v/>
      </c>
      <c r="S122" s="9" t="str">
        <f t="shared" si="61"/>
        <v>CHARLEAUX(CEPE)</v>
      </c>
      <c r="T122" s="9">
        <f t="shared" si="62"/>
        <v>1</v>
      </c>
      <c r="U122" s="9" t="str">
        <f t="shared" si="63"/>
        <v>RAFAEL BALIEIRO(LTVL)</v>
      </c>
      <c r="V122" s="9">
        <f t="shared" si="64"/>
        <v>1</v>
      </c>
      <c r="W122" s="9">
        <f t="shared" si="65"/>
        <v>1</v>
      </c>
    </row>
    <row r="123" spans="1:23" x14ac:dyDescent="0.2">
      <c r="A123" s="8">
        <v>32</v>
      </c>
      <c r="B123" s="19" t="str">
        <f>VLOOKUP($A123, Equipes!$A$3:$B$42, 2, FALSE)</f>
        <v>BERGAMINI(MZ)</v>
      </c>
      <c r="C123" s="18">
        <v>1</v>
      </c>
      <c r="D123" s="20" t="s">
        <v>22</v>
      </c>
      <c r="E123" s="18">
        <v>3</v>
      </c>
      <c r="F123" s="21" t="str">
        <f>VLOOKUP($G123, Equipes!$A$3:$B$42, 2, FALSE)</f>
        <v>PABLO MARTINS(SPFC)</v>
      </c>
      <c r="G123" s="22">
        <v>29</v>
      </c>
      <c r="H123" s="19">
        <v>19</v>
      </c>
      <c r="I123" s="19" t="s">
        <v>17</v>
      </c>
      <c r="J123" s="19">
        <v>6</v>
      </c>
      <c r="K123" s="19"/>
      <c r="M123" s="9" t="str">
        <f t="shared" si="55"/>
        <v>BERGAMINI(MZ)</v>
      </c>
      <c r="N123" s="9" t="str">
        <f t="shared" si="56"/>
        <v>PABLO MARTINS(SPFC)</v>
      </c>
      <c r="O123" s="9" t="str">
        <f t="shared" si="57"/>
        <v>PABLO MARTINS(SPFC)</v>
      </c>
      <c r="P123" s="9" t="str">
        <f t="shared" si="58"/>
        <v/>
      </c>
      <c r="Q123" s="9" t="str">
        <f t="shared" si="59"/>
        <v/>
      </c>
      <c r="R123" s="9" t="str">
        <f t="shared" si="60"/>
        <v>BERGAMINI(MZ)</v>
      </c>
      <c r="S123" s="9" t="str">
        <f t="shared" si="61"/>
        <v>BERGAMINI(MZ)</v>
      </c>
      <c r="T123" s="9">
        <f t="shared" si="62"/>
        <v>1</v>
      </c>
      <c r="U123" s="9" t="str">
        <f t="shared" si="63"/>
        <v>PABLO MARTINS(SPFC)</v>
      </c>
      <c r="V123" s="9">
        <f t="shared" si="64"/>
        <v>3</v>
      </c>
      <c r="W123" s="9">
        <f t="shared" si="65"/>
        <v>1</v>
      </c>
    </row>
    <row r="124" spans="1:23" x14ac:dyDescent="0.2">
      <c r="A124" s="8">
        <v>31</v>
      </c>
      <c r="B124" s="9" t="str">
        <f>VLOOKUP($A124, Equipes!$A$3:$B$42, 2, FALSE)</f>
        <v>GALDEANO(SCCP)</v>
      </c>
      <c r="C124" s="18">
        <v>4</v>
      </c>
      <c r="D124" s="10" t="s">
        <v>22</v>
      </c>
      <c r="E124" s="18">
        <v>1</v>
      </c>
      <c r="F124" s="11" t="str">
        <f>VLOOKUP($G124, Equipes!$A$3:$B$42, 2, FALSE)</f>
        <v>GUANABARA(LTVL)</v>
      </c>
      <c r="G124" s="8">
        <v>30</v>
      </c>
      <c r="H124" s="9">
        <v>13</v>
      </c>
      <c r="I124" s="9" t="s">
        <v>17</v>
      </c>
      <c r="J124" s="9">
        <v>6</v>
      </c>
      <c r="M124" s="9" t="str">
        <f t="shared" si="55"/>
        <v>GALDEANO(SCCP)</v>
      </c>
      <c r="N124" s="9" t="str">
        <f t="shared" si="56"/>
        <v>GUANABARA(LTVL)</v>
      </c>
      <c r="O124" s="9" t="str">
        <f t="shared" si="57"/>
        <v>GALDEANO(SCCP)</v>
      </c>
      <c r="P124" s="9" t="str">
        <f t="shared" si="58"/>
        <v/>
      </c>
      <c r="Q124" s="9" t="str">
        <f t="shared" si="59"/>
        <v/>
      </c>
      <c r="R124" s="9" t="str">
        <f t="shared" si="60"/>
        <v>GUANABARA(LTVL)</v>
      </c>
      <c r="S124" s="9" t="str">
        <f t="shared" si="61"/>
        <v>GALDEANO(SCCP)</v>
      </c>
      <c r="T124" s="9">
        <f t="shared" si="62"/>
        <v>4</v>
      </c>
      <c r="U124" s="9" t="str">
        <f t="shared" si="63"/>
        <v>GUANABARA(LTVL)</v>
      </c>
      <c r="V124" s="9">
        <f t="shared" si="64"/>
        <v>1</v>
      </c>
      <c r="W124" s="9">
        <f t="shared" si="65"/>
        <v>4</v>
      </c>
    </row>
    <row r="125" spans="1:23" x14ac:dyDescent="0.2">
      <c r="A125" s="8">
        <v>33</v>
      </c>
      <c r="B125" s="19" t="str">
        <f>VLOOKUP($A125, Equipes!$A$3:$B$42, 2, FALSE)</f>
        <v>LÉO CARIOCA(MZ)</v>
      </c>
      <c r="C125" s="18">
        <v>2</v>
      </c>
      <c r="D125" s="20" t="s">
        <v>22</v>
      </c>
      <c r="E125" s="18">
        <v>3</v>
      </c>
      <c r="F125" s="21" t="str">
        <f>VLOOKUP($G125, Equipes!$A$3:$B$42, 2, FALSE)</f>
        <v>TUPINAMBÁ(LTVL)</v>
      </c>
      <c r="G125" s="22">
        <v>35</v>
      </c>
      <c r="H125" s="19">
        <v>5</v>
      </c>
      <c r="I125" s="19" t="s">
        <v>16</v>
      </c>
      <c r="J125" s="19">
        <v>6</v>
      </c>
      <c r="K125" s="19"/>
      <c r="M125" s="9" t="str">
        <f t="shared" si="55"/>
        <v>LÉO CARIOCA(MZ)</v>
      </c>
      <c r="N125" s="9" t="str">
        <f t="shared" si="56"/>
        <v>TUPINAMBÁ(LTVL)</v>
      </c>
      <c r="O125" s="9" t="str">
        <f t="shared" si="57"/>
        <v>TUPINAMBÁ(LTVL)</v>
      </c>
      <c r="P125" s="9" t="str">
        <f t="shared" si="58"/>
        <v/>
      </c>
      <c r="Q125" s="9" t="str">
        <f t="shared" si="59"/>
        <v/>
      </c>
      <c r="R125" s="9" t="str">
        <f t="shared" si="60"/>
        <v>LÉO CARIOCA(MZ)</v>
      </c>
      <c r="S125" s="9" t="str">
        <f t="shared" si="61"/>
        <v>LÉO CARIOCA(MZ)</v>
      </c>
      <c r="T125" s="9">
        <f t="shared" si="62"/>
        <v>2</v>
      </c>
      <c r="U125" s="9" t="str">
        <f t="shared" si="63"/>
        <v>TUPINAMBÁ(LTVL)</v>
      </c>
      <c r="V125" s="9">
        <f t="shared" si="64"/>
        <v>3</v>
      </c>
      <c r="W125" s="9">
        <f t="shared" si="65"/>
        <v>2</v>
      </c>
    </row>
    <row r="126" spans="1:23" x14ac:dyDescent="0.2">
      <c r="A126" s="8">
        <v>36</v>
      </c>
      <c r="B126" s="9" t="str">
        <f>VLOOKUP($A126, Equipes!$A$3:$B$42, 2, FALSE)</f>
        <v>RICARDO RAMALHO(BF)</v>
      </c>
      <c r="C126" s="18">
        <v>1</v>
      </c>
      <c r="D126" s="10" t="s">
        <v>22</v>
      </c>
      <c r="E126" s="18">
        <v>1</v>
      </c>
      <c r="F126" s="11" t="str">
        <f>VLOOKUP($G126, Equipes!$A$3:$B$42, 2, FALSE)</f>
        <v>ZÉ LUIZ(SPFC)</v>
      </c>
      <c r="G126" s="8">
        <v>34</v>
      </c>
      <c r="H126" s="9">
        <v>20</v>
      </c>
      <c r="I126" s="9" t="s">
        <v>16</v>
      </c>
      <c r="J126" s="9">
        <v>6</v>
      </c>
      <c r="M126" s="9" t="str">
        <f t="shared" si="55"/>
        <v>RICARDO RAMALHO(BF)</v>
      </c>
      <c r="N126" s="9" t="str">
        <f t="shared" si="56"/>
        <v>ZÉ LUIZ(SPFC)</v>
      </c>
      <c r="O126" s="9" t="str">
        <f t="shared" si="57"/>
        <v/>
      </c>
      <c r="P126" s="9" t="str">
        <f t="shared" si="58"/>
        <v>RICARDO RAMALHO(BF)</v>
      </c>
      <c r="Q126" s="9" t="str">
        <f t="shared" si="59"/>
        <v>ZÉ LUIZ(SPFC)</v>
      </c>
      <c r="R126" s="9" t="str">
        <f t="shared" si="60"/>
        <v/>
      </c>
      <c r="S126" s="9" t="str">
        <f t="shared" si="61"/>
        <v>RICARDO RAMALHO(BF)</v>
      </c>
      <c r="T126" s="9">
        <f t="shared" si="62"/>
        <v>1</v>
      </c>
      <c r="U126" s="9" t="str">
        <f t="shared" si="63"/>
        <v>ZÉ LUIZ(SPFC)</v>
      </c>
      <c r="V126" s="9">
        <f t="shared" si="64"/>
        <v>1</v>
      </c>
      <c r="W126" s="9">
        <f t="shared" si="65"/>
        <v>1</v>
      </c>
    </row>
    <row r="127" spans="1:23" x14ac:dyDescent="0.2">
      <c r="A127" s="8">
        <v>40</v>
      </c>
      <c r="B127" s="19" t="str">
        <f>VLOOKUP($A127, Equipes!$A$3:$B$42, 2, FALSE)</f>
        <v>PEPE 2004(CEPE)</v>
      </c>
      <c r="C127" s="18">
        <v>3</v>
      </c>
      <c r="D127" s="20" t="s">
        <v>22</v>
      </c>
      <c r="E127" s="18">
        <v>2</v>
      </c>
      <c r="F127" s="21" t="str">
        <f>VLOOKUP($G127, Equipes!$A$3:$B$42, 2, FALSE)</f>
        <v>BRAGHETTO(MZ)</v>
      </c>
      <c r="G127" s="22">
        <v>37</v>
      </c>
      <c r="H127" s="19">
        <v>17</v>
      </c>
      <c r="I127" s="19" t="s">
        <v>16</v>
      </c>
      <c r="J127" s="19">
        <v>6</v>
      </c>
      <c r="K127" s="19"/>
      <c r="M127" s="9" t="str">
        <f t="shared" si="55"/>
        <v>PEPE 2004(CEPE)</v>
      </c>
      <c r="N127" s="9" t="str">
        <f t="shared" si="56"/>
        <v>BRAGHETTO(MZ)</v>
      </c>
      <c r="O127" s="9" t="str">
        <f t="shared" si="57"/>
        <v>PEPE 2004(CEPE)</v>
      </c>
      <c r="P127" s="9" t="str">
        <f t="shared" si="58"/>
        <v/>
      </c>
      <c r="Q127" s="9" t="str">
        <f t="shared" si="59"/>
        <v/>
      </c>
      <c r="R127" s="9" t="str">
        <f t="shared" si="60"/>
        <v>BRAGHETTO(MZ)</v>
      </c>
      <c r="S127" s="9" t="str">
        <f t="shared" si="61"/>
        <v>PEPE 2004(CEPE)</v>
      </c>
      <c r="T127" s="9">
        <f t="shared" si="62"/>
        <v>3</v>
      </c>
      <c r="U127" s="9" t="str">
        <f t="shared" si="63"/>
        <v>BRAGHETTO(MZ)</v>
      </c>
      <c r="V127" s="9">
        <f t="shared" si="64"/>
        <v>2</v>
      </c>
      <c r="W127" s="9">
        <f t="shared" si="65"/>
        <v>3</v>
      </c>
    </row>
    <row r="128" spans="1:23" x14ac:dyDescent="0.2">
      <c r="A128" s="8">
        <v>39</v>
      </c>
      <c r="B128" s="9" t="str">
        <f>VLOOKUP($A128, Equipes!$A$3:$B$42, 2, FALSE)</f>
        <v>RODRIGO MORO(SCCP)</v>
      </c>
      <c r="C128" s="18">
        <v>0</v>
      </c>
      <c r="D128" s="10" t="s">
        <v>22</v>
      </c>
      <c r="E128" s="18">
        <v>4</v>
      </c>
      <c r="F128" s="11" t="str">
        <f>VLOOKUP($G128, Equipes!$A$3:$B$42, 2, FALSE)</f>
        <v>PAULO ROBERTO(SPFC)</v>
      </c>
      <c r="G128" s="8">
        <v>38</v>
      </c>
      <c r="H128" s="9">
        <v>6</v>
      </c>
      <c r="I128" s="9" t="s">
        <v>16</v>
      </c>
      <c r="J128" s="9">
        <v>6</v>
      </c>
      <c r="M128" s="9" t="str">
        <f t="shared" si="55"/>
        <v>RODRIGO MORO(SCCP)</v>
      </c>
      <c r="N128" s="9" t="str">
        <f t="shared" si="56"/>
        <v>PAULO ROBERTO(SPFC)</v>
      </c>
      <c r="O128" s="9" t="str">
        <f t="shared" si="57"/>
        <v>PAULO ROBERTO(SPFC)</v>
      </c>
      <c r="P128" s="9" t="str">
        <f t="shared" si="58"/>
        <v/>
      </c>
      <c r="Q128" s="9" t="str">
        <f t="shared" si="59"/>
        <v/>
      </c>
      <c r="R128" s="9" t="str">
        <f t="shared" si="60"/>
        <v>RODRIGO MORO(SCCP)</v>
      </c>
      <c r="S128" s="9" t="str">
        <f t="shared" si="61"/>
        <v>RODRIGO MORO(SCCP)</v>
      </c>
      <c r="T128" s="9">
        <f t="shared" si="62"/>
        <v>0</v>
      </c>
      <c r="U128" s="9" t="str">
        <f t="shared" si="63"/>
        <v>PAULO ROBERTO(SPFC)</v>
      </c>
      <c r="V128" s="9">
        <f t="shared" si="64"/>
        <v>4</v>
      </c>
      <c r="W128" s="9">
        <f t="shared" si="65"/>
        <v>0</v>
      </c>
    </row>
    <row r="129" spans="1:23" x14ac:dyDescent="0.2">
      <c r="B129" s="13" t="s">
        <v>31</v>
      </c>
      <c r="C129" s="14"/>
      <c r="D129" s="14"/>
      <c r="E129" s="14"/>
      <c r="F129" s="15"/>
      <c r="G129" s="16"/>
      <c r="H129" s="13" t="s">
        <v>11</v>
      </c>
      <c r="I129" s="13" t="s">
        <v>12</v>
      </c>
      <c r="J129" s="13" t="s">
        <v>13</v>
      </c>
      <c r="K129" s="17">
        <f>K3 + TIME(0,120,0)</f>
        <v>45340.597222222226</v>
      </c>
      <c r="M129" s="12" t="s">
        <v>14</v>
      </c>
      <c r="N129" s="12" t="s">
        <v>14</v>
      </c>
      <c r="O129" s="12" t="s">
        <v>15</v>
      </c>
      <c r="P129" s="12" t="s">
        <v>16</v>
      </c>
      <c r="Q129" s="12" t="s">
        <v>16</v>
      </c>
      <c r="R129" s="12" t="s">
        <v>17</v>
      </c>
      <c r="S129" s="12" t="s">
        <v>18</v>
      </c>
      <c r="T129" s="12" t="s">
        <v>19</v>
      </c>
      <c r="U129" s="12" t="s">
        <v>15</v>
      </c>
      <c r="V129" s="12" t="s">
        <v>20</v>
      </c>
      <c r="W129" s="12" t="s">
        <v>21</v>
      </c>
    </row>
    <row r="130" spans="1:23" x14ac:dyDescent="0.2">
      <c r="A130" s="8">
        <v>1</v>
      </c>
      <c r="B130" s="9" t="str">
        <f>VLOOKUP($A130, Equipes!$A$3:$B$42, 2, FALSE)</f>
        <v>RUAS(CEPE)</v>
      </c>
      <c r="C130" s="18">
        <v>0</v>
      </c>
      <c r="D130" s="10" t="s">
        <v>22</v>
      </c>
      <c r="E130" s="18">
        <v>2</v>
      </c>
      <c r="F130" s="11" t="str">
        <f>VLOOKUP($G130, Equipes!$A$3:$B$42, 2, FALSE)</f>
        <v>MARCOS WILLOW(SCCP)</v>
      </c>
      <c r="G130" s="8">
        <v>2</v>
      </c>
      <c r="H130" s="9">
        <v>5</v>
      </c>
      <c r="I130" s="9" t="s">
        <v>23</v>
      </c>
      <c r="J130" s="9">
        <v>7</v>
      </c>
      <c r="M130" s="9" t="str">
        <f t="shared" ref="M130:M149" si="66">IF(OR(C130 = "",E130 = ""), "", B130)</f>
        <v>RUAS(CEPE)</v>
      </c>
      <c r="N130" s="9" t="str">
        <f t="shared" ref="N130:N149" si="67">IF(OR(C130 = "",E130 = ""), "", F130)</f>
        <v>MARCOS WILLOW(SCCP)</v>
      </c>
      <c r="O130" s="9" t="str">
        <f t="shared" ref="O130:O149" si="68">IF(C130&gt;E130,B130, IF(E130&gt;C130,F130, ""))</f>
        <v>MARCOS WILLOW(SCCP)</v>
      </c>
      <c r="P130" s="9" t="str">
        <f t="shared" ref="P130:P149" si="69">IF(OR(C130 = "",E130 = ""), "", IF(C130=E130,B130, ""))</f>
        <v/>
      </c>
      <c r="Q130" s="9" t="str">
        <f t="shared" ref="Q130:Q149" si="70">IF(OR(C130 = "",E130 = ""), "", IF(C130=E130,F130, ""))</f>
        <v/>
      </c>
      <c r="R130" s="9" t="str">
        <f t="shared" ref="R130:R149" si="71">IF(C130&gt;E130,F130, IF(E130&gt;C130,B130, ""))</f>
        <v>RUAS(CEPE)</v>
      </c>
      <c r="S130" s="9" t="str">
        <f t="shared" ref="S130:S149" si="72">IF(OR(C130 = "",E130 = ""), "", B130)</f>
        <v>RUAS(CEPE)</v>
      </c>
      <c r="T130" s="9">
        <f t="shared" ref="T130:T149" si="73">IF(C130 = "", "", C130)</f>
        <v>0</v>
      </c>
      <c r="U130" s="9" t="str">
        <f t="shared" ref="U130:U149" si="74">IF(OR(C130 = "",E130 = ""), "", F130)</f>
        <v>MARCOS WILLOW(SCCP)</v>
      </c>
      <c r="V130" s="9">
        <f t="shared" ref="V130:V149" si="75">IF(E130 = "", "", E130)</f>
        <v>2</v>
      </c>
      <c r="W130" s="9">
        <f t="shared" ref="W130:W149" si="76">IF(C130 = "", "", C130)</f>
        <v>0</v>
      </c>
    </row>
    <row r="131" spans="1:23" x14ac:dyDescent="0.2">
      <c r="A131" s="8">
        <v>3</v>
      </c>
      <c r="B131" s="19" t="str">
        <f>VLOOKUP($A131, Equipes!$A$3:$B$42, 2, FALSE)</f>
        <v>SALLYS(SPFC)</v>
      </c>
      <c r="C131" s="18">
        <v>1</v>
      </c>
      <c r="D131" s="20" t="s">
        <v>22</v>
      </c>
      <c r="E131" s="18">
        <v>1</v>
      </c>
      <c r="F131" s="21" t="str">
        <f>VLOOKUP($G131, Equipes!$A$3:$B$42, 2, FALSE)</f>
        <v>CLÉO JR (CEPE)</v>
      </c>
      <c r="G131" s="22">
        <v>5</v>
      </c>
      <c r="H131" s="19">
        <v>13</v>
      </c>
      <c r="I131" s="19" t="s">
        <v>23</v>
      </c>
      <c r="J131" s="19">
        <v>7</v>
      </c>
      <c r="K131" s="19"/>
      <c r="M131" s="9" t="str">
        <f t="shared" si="66"/>
        <v>SALLYS(SPFC)</v>
      </c>
      <c r="N131" s="9" t="str">
        <f t="shared" si="67"/>
        <v>CLÉO JR (CEPE)</v>
      </c>
      <c r="O131" s="9" t="str">
        <f t="shared" si="68"/>
        <v/>
      </c>
      <c r="P131" s="9" t="str">
        <f t="shared" si="69"/>
        <v>SALLYS(SPFC)</v>
      </c>
      <c r="Q131" s="9" t="str">
        <f t="shared" si="70"/>
        <v>CLÉO JR (CEPE)</v>
      </c>
      <c r="R131" s="9" t="str">
        <f t="shared" si="71"/>
        <v/>
      </c>
      <c r="S131" s="9" t="str">
        <f t="shared" si="72"/>
        <v>SALLYS(SPFC)</v>
      </c>
      <c r="T131" s="9">
        <f t="shared" si="73"/>
        <v>1</v>
      </c>
      <c r="U131" s="9" t="str">
        <f t="shared" si="74"/>
        <v>CLÉO JR (CEPE)</v>
      </c>
      <c r="V131" s="9">
        <f t="shared" si="75"/>
        <v>1</v>
      </c>
      <c r="W131" s="9">
        <f t="shared" si="76"/>
        <v>1</v>
      </c>
    </row>
    <row r="132" spans="1:23" x14ac:dyDescent="0.2">
      <c r="A132" s="8">
        <v>4</v>
      </c>
      <c r="B132" s="9" t="str">
        <f>VLOOKUP($A132, Equipes!$A$3:$B$42, 2, FALSE)</f>
        <v>PROFESSOR(LTVL)</v>
      </c>
      <c r="C132" s="18">
        <v>0</v>
      </c>
      <c r="D132" s="10" t="s">
        <v>22</v>
      </c>
      <c r="E132" s="18">
        <v>2</v>
      </c>
      <c r="F132" s="11" t="str">
        <f>VLOOKUP($G132, Equipes!$A$3:$B$42, 2, FALSE)</f>
        <v>COELHO(SCCP)</v>
      </c>
      <c r="G132" s="8">
        <v>6</v>
      </c>
      <c r="H132" s="9">
        <v>1</v>
      </c>
      <c r="I132" s="9" t="s">
        <v>23</v>
      </c>
      <c r="J132" s="9">
        <v>7</v>
      </c>
      <c r="M132" s="9" t="str">
        <f t="shared" si="66"/>
        <v>PROFESSOR(LTVL)</v>
      </c>
      <c r="N132" s="9" t="str">
        <f t="shared" si="67"/>
        <v>COELHO(SCCP)</v>
      </c>
      <c r="O132" s="9" t="str">
        <f t="shared" si="68"/>
        <v>COELHO(SCCP)</v>
      </c>
      <c r="P132" s="9" t="str">
        <f t="shared" si="69"/>
        <v/>
      </c>
      <c r="Q132" s="9" t="str">
        <f t="shared" si="70"/>
        <v/>
      </c>
      <c r="R132" s="9" t="str">
        <f t="shared" si="71"/>
        <v>PROFESSOR(LTVL)</v>
      </c>
      <c r="S132" s="9" t="str">
        <f t="shared" si="72"/>
        <v>PROFESSOR(LTVL)</v>
      </c>
      <c r="T132" s="9">
        <f t="shared" si="73"/>
        <v>0</v>
      </c>
      <c r="U132" s="9" t="str">
        <f t="shared" si="74"/>
        <v>COELHO(SCCP)</v>
      </c>
      <c r="V132" s="9">
        <f t="shared" si="75"/>
        <v>2</v>
      </c>
      <c r="W132" s="9">
        <f t="shared" si="76"/>
        <v>0</v>
      </c>
    </row>
    <row r="133" spans="1:23" x14ac:dyDescent="0.2">
      <c r="A133" s="8">
        <v>8</v>
      </c>
      <c r="B133" s="19" t="str">
        <f>VLOOKUP($A133, Equipes!$A$3:$B$42, 2, FALSE)</f>
        <v>CORTEZ(MZ)</v>
      </c>
      <c r="C133" s="18">
        <v>1</v>
      </c>
      <c r="D133" s="20" t="s">
        <v>22</v>
      </c>
      <c r="E133" s="18">
        <v>1</v>
      </c>
      <c r="F133" s="21" t="str">
        <f>VLOOKUP($G133, Equipes!$A$3:$B$42, 2, FALSE)</f>
        <v>AURÉLIO(BF)</v>
      </c>
      <c r="G133" s="22">
        <v>7</v>
      </c>
      <c r="H133" s="19">
        <v>20</v>
      </c>
      <c r="I133" s="19" t="s">
        <v>23</v>
      </c>
      <c r="J133" s="19">
        <v>7</v>
      </c>
      <c r="K133" s="19"/>
      <c r="M133" s="9" t="str">
        <f t="shared" si="66"/>
        <v>CORTEZ(MZ)</v>
      </c>
      <c r="N133" s="9" t="str">
        <f t="shared" si="67"/>
        <v>AURÉLIO(BF)</v>
      </c>
      <c r="O133" s="9" t="str">
        <f t="shared" si="68"/>
        <v/>
      </c>
      <c r="P133" s="9" t="str">
        <f t="shared" si="69"/>
        <v>CORTEZ(MZ)</v>
      </c>
      <c r="Q133" s="9" t="str">
        <f t="shared" si="70"/>
        <v>AURÉLIO(BF)</v>
      </c>
      <c r="R133" s="9" t="str">
        <f t="shared" si="71"/>
        <v/>
      </c>
      <c r="S133" s="9" t="str">
        <f t="shared" si="72"/>
        <v>CORTEZ(MZ)</v>
      </c>
      <c r="T133" s="9">
        <f t="shared" si="73"/>
        <v>1</v>
      </c>
      <c r="U133" s="9" t="str">
        <f t="shared" si="74"/>
        <v>AURÉLIO(BF)</v>
      </c>
      <c r="V133" s="9">
        <f t="shared" si="75"/>
        <v>1</v>
      </c>
      <c r="W133" s="9">
        <f t="shared" si="76"/>
        <v>1</v>
      </c>
    </row>
    <row r="134" spans="1:23" x14ac:dyDescent="0.2">
      <c r="A134" s="8">
        <v>9</v>
      </c>
      <c r="B134" s="9" t="str">
        <f>VLOOKUP($A134, Equipes!$A$3:$B$42, 2, FALSE)</f>
        <v>TABAJARA(CEPE)</v>
      </c>
      <c r="C134" s="18">
        <v>3</v>
      </c>
      <c r="D134" s="10" t="s">
        <v>22</v>
      </c>
      <c r="E134" s="18">
        <v>1</v>
      </c>
      <c r="F134" s="11" t="str">
        <f>VLOOKUP($G134, Equipes!$A$3:$B$42, 2, FALSE)</f>
        <v>REGINALDO(SCCP)</v>
      </c>
      <c r="G134" s="8">
        <v>10</v>
      </c>
      <c r="H134" s="9">
        <v>18</v>
      </c>
      <c r="I134" s="9" t="s">
        <v>24</v>
      </c>
      <c r="J134" s="9">
        <v>7</v>
      </c>
      <c r="M134" s="9" t="str">
        <f t="shared" si="66"/>
        <v>TABAJARA(CEPE)</v>
      </c>
      <c r="N134" s="9" t="str">
        <f t="shared" si="67"/>
        <v>REGINALDO(SCCP)</v>
      </c>
      <c r="O134" s="9" t="str">
        <f t="shared" si="68"/>
        <v>TABAJARA(CEPE)</v>
      </c>
      <c r="P134" s="9" t="str">
        <f t="shared" si="69"/>
        <v/>
      </c>
      <c r="Q134" s="9" t="str">
        <f t="shared" si="70"/>
        <v/>
      </c>
      <c r="R134" s="9" t="str">
        <f t="shared" si="71"/>
        <v>REGINALDO(SCCP)</v>
      </c>
      <c r="S134" s="9" t="str">
        <f t="shared" si="72"/>
        <v>TABAJARA(CEPE)</v>
      </c>
      <c r="T134" s="9">
        <f t="shared" si="73"/>
        <v>3</v>
      </c>
      <c r="U134" s="9" t="str">
        <f t="shared" si="74"/>
        <v>REGINALDO(SCCP)</v>
      </c>
      <c r="V134" s="9">
        <f t="shared" si="75"/>
        <v>1</v>
      </c>
      <c r="W134" s="9">
        <f t="shared" si="76"/>
        <v>3</v>
      </c>
    </row>
    <row r="135" spans="1:23" x14ac:dyDescent="0.2">
      <c r="A135" s="8">
        <v>11</v>
      </c>
      <c r="B135" s="19" t="str">
        <f>VLOOKUP($A135, Equipes!$A$3:$B$42, 2, FALSE)</f>
        <v>ELSIO(SPFC)</v>
      </c>
      <c r="C135" s="18">
        <v>0</v>
      </c>
      <c r="D135" s="20" t="s">
        <v>22</v>
      </c>
      <c r="E135" s="18">
        <v>1</v>
      </c>
      <c r="F135" s="21" t="str">
        <f>VLOOKUP($G135, Equipes!$A$3:$B$42, 2, FALSE)</f>
        <v>DIOGO(CEPE)</v>
      </c>
      <c r="G135" s="22">
        <v>13</v>
      </c>
      <c r="H135" s="19">
        <v>15</v>
      </c>
      <c r="I135" s="19" t="s">
        <v>24</v>
      </c>
      <c r="J135" s="19">
        <v>7</v>
      </c>
      <c r="K135" s="19"/>
      <c r="M135" s="9" t="str">
        <f t="shared" si="66"/>
        <v>ELSIO(SPFC)</v>
      </c>
      <c r="N135" s="9" t="str">
        <f t="shared" si="67"/>
        <v>DIOGO(CEPE)</v>
      </c>
      <c r="O135" s="9" t="str">
        <f t="shared" si="68"/>
        <v>DIOGO(CEPE)</v>
      </c>
      <c r="P135" s="9" t="str">
        <f t="shared" si="69"/>
        <v/>
      </c>
      <c r="Q135" s="9" t="str">
        <f t="shared" si="70"/>
        <v/>
      </c>
      <c r="R135" s="9" t="str">
        <f t="shared" si="71"/>
        <v>ELSIO(SPFC)</v>
      </c>
      <c r="S135" s="9" t="str">
        <f t="shared" si="72"/>
        <v>ELSIO(SPFC)</v>
      </c>
      <c r="T135" s="9">
        <f t="shared" si="73"/>
        <v>0</v>
      </c>
      <c r="U135" s="9" t="str">
        <f t="shared" si="74"/>
        <v>DIOGO(CEPE)</v>
      </c>
      <c r="V135" s="9">
        <f t="shared" si="75"/>
        <v>1</v>
      </c>
      <c r="W135" s="9">
        <f t="shared" si="76"/>
        <v>0</v>
      </c>
    </row>
    <row r="136" spans="1:23" x14ac:dyDescent="0.2">
      <c r="A136" s="8">
        <v>12</v>
      </c>
      <c r="B136" s="9" t="str">
        <f>VLOOKUP($A136, Equipes!$A$3:$B$42, 2, FALSE)</f>
        <v>MARIELCIO(LTVL)</v>
      </c>
      <c r="C136" s="18">
        <v>1</v>
      </c>
      <c r="D136" s="10" t="s">
        <v>22</v>
      </c>
      <c r="E136" s="18">
        <v>2</v>
      </c>
      <c r="F136" s="11" t="str">
        <f>VLOOKUP($G136, Equipes!$A$3:$B$42, 2, FALSE)</f>
        <v>VINICIUS ROLIM(SCCP)</v>
      </c>
      <c r="G136" s="8">
        <v>14</v>
      </c>
      <c r="H136" s="9">
        <v>12</v>
      </c>
      <c r="I136" s="9" t="s">
        <v>24</v>
      </c>
      <c r="J136" s="9">
        <v>7</v>
      </c>
      <c r="M136" s="9" t="str">
        <f t="shared" si="66"/>
        <v>MARIELCIO(LTVL)</v>
      </c>
      <c r="N136" s="9" t="str">
        <f t="shared" si="67"/>
        <v>VINICIUS ROLIM(SCCP)</v>
      </c>
      <c r="O136" s="9" t="str">
        <f t="shared" si="68"/>
        <v>VINICIUS ROLIM(SCCP)</v>
      </c>
      <c r="P136" s="9" t="str">
        <f t="shared" si="69"/>
        <v/>
      </c>
      <c r="Q136" s="9" t="str">
        <f t="shared" si="70"/>
        <v/>
      </c>
      <c r="R136" s="9" t="str">
        <f t="shared" si="71"/>
        <v>MARIELCIO(LTVL)</v>
      </c>
      <c r="S136" s="9" t="str">
        <f t="shared" si="72"/>
        <v>MARIELCIO(LTVL)</v>
      </c>
      <c r="T136" s="9">
        <f t="shared" si="73"/>
        <v>1</v>
      </c>
      <c r="U136" s="9" t="str">
        <f t="shared" si="74"/>
        <v>VINICIUS ROLIM(SCCP)</v>
      </c>
      <c r="V136" s="9">
        <f t="shared" si="75"/>
        <v>2</v>
      </c>
      <c r="W136" s="9">
        <f t="shared" si="76"/>
        <v>1</v>
      </c>
    </row>
    <row r="137" spans="1:23" x14ac:dyDescent="0.2">
      <c r="A137" s="8">
        <v>16</v>
      </c>
      <c r="B137" s="19" t="str">
        <f>VLOOKUP($A137, Equipes!$A$3:$B$42, 2, FALSE)</f>
        <v>LUIZ COELHO(MZ)</v>
      </c>
      <c r="C137" s="18">
        <v>1</v>
      </c>
      <c r="D137" s="20" t="s">
        <v>22</v>
      </c>
      <c r="E137" s="18">
        <v>0</v>
      </c>
      <c r="F137" s="21" t="str">
        <f>VLOOKUP($G137, Equipes!$A$3:$B$42, 2, FALSE)</f>
        <v>AUGUSTO(BF)</v>
      </c>
      <c r="G137" s="22">
        <v>15</v>
      </c>
      <c r="H137" s="19">
        <v>3</v>
      </c>
      <c r="I137" s="19" t="s">
        <v>24</v>
      </c>
      <c r="J137" s="19">
        <v>7</v>
      </c>
      <c r="K137" s="19"/>
      <c r="M137" s="9" t="str">
        <f t="shared" si="66"/>
        <v>LUIZ COELHO(MZ)</v>
      </c>
      <c r="N137" s="9" t="str">
        <f t="shared" si="67"/>
        <v>AUGUSTO(BF)</v>
      </c>
      <c r="O137" s="9" t="str">
        <f t="shared" si="68"/>
        <v>LUIZ COELHO(MZ)</v>
      </c>
      <c r="P137" s="9" t="str">
        <f t="shared" si="69"/>
        <v/>
      </c>
      <c r="Q137" s="9" t="str">
        <f t="shared" si="70"/>
        <v/>
      </c>
      <c r="R137" s="9" t="str">
        <f t="shared" si="71"/>
        <v>AUGUSTO(BF)</v>
      </c>
      <c r="S137" s="9" t="str">
        <f t="shared" si="72"/>
        <v>LUIZ COELHO(MZ)</v>
      </c>
      <c r="T137" s="9">
        <f t="shared" si="73"/>
        <v>1</v>
      </c>
      <c r="U137" s="9" t="str">
        <f t="shared" si="74"/>
        <v>AUGUSTO(BF)</v>
      </c>
      <c r="V137" s="9">
        <f t="shared" si="75"/>
        <v>0</v>
      </c>
      <c r="W137" s="9">
        <f t="shared" si="76"/>
        <v>1</v>
      </c>
    </row>
    <row r="138" spans="1:23" x14ac:dyDescent="0.2">
      <c r="A138" s="8">
        <v>17</v>
      </c>
      <c r="B138" s="9" t="str">
        <f>VLOOKUP($A138, Equipes!$A$3:$B$42, 2, FALSE)</f>
        <v>AFONSO(CEPE)</v>
      </c>
      <c r="C138" s="18">
        <v>1</v>
      </c>
      <c r="D138" s="10" t="s">
        <v>22</v>
      </c>
      <c r="E138" s="18">
        <v>1</v>
      </c>
      <c r="F138" s="11" t="str">
        <f>VLOOKUP($G138, Equipes!$A$3:$B$42, 2, FALSE)</f>
        <v>MARIELCINHO(LTVL)</v>
      </c>
      <c r="G138" s="8">
        <v>18</v>
      </c>
      <c r="H138" s="9">
        <v>2</v>
      </c>
      <c r="I138" s="9" t="s">
        <v>25</v>
      </c>
      <c r="J138" s="9">
        <v>7</v>
      </c>
      <c r="M138" s="9" t="str">
        <f t="shared" si="66"/>
        <v>AFONSO(CEPE)</v>
      </c>
      <c r="N138" s="9" t="str">
        <f t="shared" si="67"/>
        <v>MARIELCINHO(LTVL)</v>
      </c>
      <c r="O138" s="9" t="str">
        <f t="shared" si="68"/>
        <v/>
      </c>
      <c r="P138" s="9" t="str">
        <f t="shared" si="69"/>
        <v>AFONSO(CEPE)</v>
      </c>
      <c r="Q138" s="9" t="str">
        <f t="shared" si="70"/>
        <v>MARIELCINHO(LTVL)</v>
      </c>
      <c r="R138" s="9" t="str">
        <f t="shared" si="71"/>
        <v/>
      </c>
      <c r="S138" s="9" t="str">
        <f t="shared" si="72"/>
        <v>AFONSO(CEPE)</v>
      </c>
      <c r="T138" s="9">
        <f t="shared" si="73"/>
        <v>1</v>
      </c>
      <c r="U138" s="9" t="str">
        <f t="shared" si="74"/>
        <v>MARIELCINHO(LTVL)</v>
      </c>
      <c r="V138" s="9">
        <f t="shared" si="75"/>
        <v>1</v>
      </c>
      <c r="W138" s="9">
        <f t="shared" si="76"/>
        <v>1</v>
      </c>
    </row>
    <row r="139" spans="1:23" x14ac:dyDescent="0.2">
      <c r="A139" s="8">
        <v>19</v>
      </c>
      <c r="B139" s="19" t="str">
        <f>VLOOKUP($A139, Equipes!$A$3:$B$42, 2, FALSE)</f>
        <v>WAGNER(SPFC)</v>
      </c>
      <c r="C139" s="18">
        <v>3</v>
      </c>
      <c r="D139" s="20" t="s">
        <v>22</v>
      </c>
      <c r="E139" s="18">
        <v>1</v>
      </c>
      <c r="F139" s="21" t="str">
        <f>VLOOKUP($G139, Equipes!$A$3:$B$42, 2, FALSE)</f>
        <v>FÉLIX(CEPE)</v>
      </c>
      <c r="G139" s="22">
        <v>21</v>
      </c>
      <c r="H139" s="19">
        <v>7</v>
      </c>
      <c r="I139" s="19" t="s">
        <v>25</v>
      </c>
      <c r="J139" s="19">
        <v>7</v>
      </c>
      <c r="K139" s="19"/>
      <c r="M139" s="9" t="str">
        <f t="shared" si="66"/>
        <v>WAGNER(SPFC)</v>
      </c>
      <c r="N139" s="9" t="str">
        <f t="shared" si="67"/>
        <v>FÉLIX(CEPE)</v>
      </c>
      <c r="O139" s="9" t="str">
        <f t="shared" si="68"/>
        <v>WAGNER(SPFC)</v>
      </c>
      <c r="P139" s="9" t="str">
        <f t="shared" si="69"/>
        <v/>
      </c>
      <c r="Q139" s="9" t="str">
        <f t="shared" si="70"/>
        <v/>
      </c>
      <c r="R139" s="9" t="str">
        <f t="shared" si="71"/>
        <v>FÉLIX(CEPE)</v>
      </c>
      <c r="S139" s="9" t="str">
        <f t="shared" si="72"/>
        <v>WAGNER(SPFC)</v>
      </c>
      <c r="T139" s="9">
        <f t="shared" si="73"/>
        <v>3</v>
      </c>
      <c r="U139" s="9" t="str">
        <f t="shared" si="74"/>
        <v>FÉLIX(CEPE)</v>
      </c>
      <c r="V139" s="9">
        <f t="shared" si="75"/>
        <v>1</v>
      </c>
      <c r="W139" s="9">
        <f t="shared" si="76"/>
        <v>3</v>
      </c>
    </row>
    <row r="140" spans="1:23" x14ac:dyDescent="0.2">
      <c r="A140" s="8">
        <v>20</v>
      </c>
      <c r="B140" s="9" t="str">
        <f>VLOOKUP($A140, Equipes!$A$3:$B$42, 2, FALSE)</f>
        <v>MARCOS MATTOS(BF)</v>
      </c>
      <c r="C140" s="18">
        <v>1</v>
      </c>
      <c r="D140" s="10" t="s">
        <v>22</v>
      </c>
      <c r="E140" s="18">
        <v>2</v>
      </c>
      <c r="F140" s="11" t="str">
        <f>VLOOKUP($G140, Equipes!$A$3:$B$42, 2, FALSE)</f>
        <v>ELCIO(LTVL)</v>
      </c>
      <c r="G140" s="8">
        <v>22</v>
      </c>
      <c r="H140" s="9">
        <v>19</v>
      </c>
      <c r="I140" s="9" t="s">
        <v>25</v>
      </c>
      <c r="J140" s="9">
        <v>7</v>
      </c>
      <c r="M140" s="9" t="str">
        <f t="shared" si="66"/>
        <v>MARCOS MATTOS(BF)</v>
      </c>
      <c r="N140" s="9" t="str">
        <f t="shared" si="67"/>
        <v>ELCIO(LTVL)</v>
      </c>
      <c r="O140" s="9" t="str">
        <f t="shared" si="68"/>
        <v>ELCIO(LTVL)</v>
      </c>
      <c r="P140" s="9" t="str">
        <f t="shared" si="69"/>
        <v/>
      </c>
      <c r="Q140" s="9" t="str">
        <f t="shared" si="70"/>
        <v/>
      </c>
      <c r="R140" s="9" t="str">
        <f t="shared" si="71"/>
        <v>MARCOS MATTOS(BF)</v>
      </c>
      <c r="S140" s="9" t="str">
        <f t="shared" si="72"/>
        <v>MARCOS MATTOS(BF)</v>
      </c>
      <c r="T140" s="9">
        <f t="shared" si="73"/>
        <v>1</v>
      </c>
      <c r="U140" s="9" t="str">
        <f t="shared" si="74"/>
        <v>ELCIO(LTVL)</v>
      </c>
      <c r="V140" s="9">
        <f t="shared" si="75"/>
        <v>2</v>
      </c>
      <c r="W140" s="9">
        <f t="shared" si="76"/>
        <v>1</v>
      </c>
    </row>
    <row r="141" spans="1:23" x14ac:dyDescent="0.2">
      <c r="A141" s="8">
        <v>24</v>
      </c>
      <c r="B141" s="19" t="str">
        <f>VLOOKUP($A141, Equipes!$A$3:$B$42, 2, FALSE)</f>
        <v>MARIO MILI(MZ)</v>
      </c>
      <c r="C141" s="18">
        <v>2</v>
      </c>
      <c r="D141" s="20" t="s">
        <v>22</v>
      </c>
      <c r="E141" s="18">
        <v>0</v>
      </c>
      <c r="F141" s="21" t="str">
        <f>VLOOKUP($G141, Equipes!$A$3:$B$42, 2, FALSE)</f>
        <v>SÉRGIO BARREIRA(SCCP)</v>
      </c>
      <c r="G141" s="22">
        <v>23</v>
      </c>
      <c r="H141" s="19">
        <v>17</v>
      </c>
      <c r="I141" s="19" t="s">
        <v>25</v>
      </c>
      <c r="J141" s="19">
        <v>7</v>
      </c>
      <c r="K141" s="19"/>
      <c r="M141" s="9" t="str">
        <f t="shared" si="66"/>
        <v>MARIO MILI(MZ)</v>
      </c>
      <c r="N141" s="9" t="str">
        <f t="shared" si="67"/>
        <v>SÉRGIO BARREIRA(SCCP)</v>
      </c>
      <c r="O141" s="9" t="str">
        <f t="shared" si="68"/>
        <v>MARIO MILI(MZ)</v>
      </c>
      <c r="P141" s="9" t="str">
        <f t="shared" si="69"/>
        <v/>
      </c>
      <c r="Q141" s="9" t="str">
        <f t="shared" si="70"/>
        <v/>
      </c>
      <c r="R141" s="9" t="str">
        <f t="shared" si="71"/>
        <v>SÉRGIO BARREIRA(SCCP)</v>
      </c>
      <c r="S141" s="9" t="str">
        <f t="shared" si="72"/>
        <v>MARIO MILI(MZ)</v>
      </c>
      <c r="T141" s="9">
        <f t="shared" si="73"/>
        <v>2</v>
      </c>
      <c r="U141" s="9" t="str">
        <f t="shared" si="74"/>
        <v>SÉRGIO BARREIRA(SCCP)</v>
      </c>
      <c r="V141" s="9">
        <f t="shared" si="75"/>
        <v>0</v>
      </c>
      <c r="W141" s="9">
        <f t="shared" si="76"/>
        <v>2</v>
      </c>
    </row>
    <row r="142" spans="1:23" x14ac:dyDescent="0.2">
      <c r="A142" s="8">
        <v>25</v>
      </c>
      <c r="B142" s="9" t="str">
        <f>VLOOKUP($A142, Equipes!$A$3:$B$42, 2, FALSE)</f>
        <v>MARCÃO SILVA(SPFC)</v>
      </c>
      <c r="C142" s="18">
        <v>2</v>
      </c>
      <c r="D142" s="10" t="s">
        <v>22</v>
      </c>
      <c r="E142" s="18">
        <v>3</v>
      </c>
      <c r="F142" s="11" t="str">
        <f>VLOOKUP($G142, Equipes!$A$3:$B$42, 2, FALSE)</f>
        <v>RAFAEL BALIEIRO(LTVL)</v>
      </c>
      <c r="G142" s="8">
        <v>26</v>
      </c>
      <c r="H142" s="9">
        <v>9</v>
      </c>
      <c r="I142" s="9" t="s">
        <v>17</v>
      </c>
      <c r="J142" s="9">
        <v>7</v>
      </c>
      <c r="M142" s="9" t="str">
        <f t="shared" si="66"/>
        <v>MARCÃO SILVA(SPFC)</v>
      </c>
      <c r="N142" s="9" t="str">
        <f t="shared" si="67"/>
        <v>RAFAEL BALIEIRO(LTVL)</v>
      </c>
      <c r="O142" s="9" t="str">
        <f t="shared" si="68"/>
        <v>RAFAEL BALIEIRO(LTVL)</v>
      </c>
      <c r="P142" s="9" t="str">
        <f t="shared" si="69"/>
        <v/>
      </c>
      <c r="Q142" s="9" t="str">
        <f t="shared" si="70"/>
        <v/>
      </c>
      <c r="R142" s="9" t="str">
        <f t="shared" si="71"/>
        <v>MARCÃO SILVA(SPFC)</v>
      </c>
      <c r="S142" s="9" t="str">
        <f t="shared" si="72"/>
        <v>MARCÃO SILVA(SPFC)</v>
      </c>
      <c r="T142" s="9">
        <f t="shared" si="73"/>
        <v>2</v>
      </c>
      <c r="U142" s="9" t="str">
        <f t="shared" si="74"/>
        <v>RAFAEL BALIEIRO(LTVL)</v>
      </c>
      <c r="V142" s="9">
        <f t="shared" si="75"/>
        <v>3</v>
      </c>
      <c r="W142" s="9">
        <f t="shared" si="76"/>
        <v>2</v>
      </c>
    </row>
    <row r="143" spans="1:23" x14ac:dyDescent="0.2">
      <c r="A143" s="8">
        <v>27</v>
      </c>
      <c r="B143" s="19" t="str">
        <f>VLOOKUP($A143, Equipes!$A$3:$B$42, 2, FALSE)</f>
        <v>DJ IURY(BF)</v>
      </c>
      <c r="C143" s="18">
        <v>0</v>
      </c>
      <c r="D143" s="20" t="s">
        <v>22</v>
      </c>
      <c r="E143" s="18">
        <v>2</v>
      </c>
      <c r="F143" s="21" t="str">
        <f>VLOOKUP($G143, Equipes!$A$3:$B$42, 2, FALSE)</f>
        <v>PABLO MARTINS(SPFC)</v>
      </c>
      <c r="G143" s="22">
        <v>29</v>
      </c>
      <c r="H143" s="19">
        <v>4</v>
      </c>
      <c r="I143" s="19" t="s">
        <v>17</v>
      </c>
      <c r="J143" s="19">
        <v>7</v>
      </c>
      <c r="K143" s="19"/>
      <c r="M143" s="9" t="str">
        <f t="shared" si="66"/>
        <v>DJ IURY(BF)</v>
      </c>
      <c r="N143" s="9" t="str">
        <f t="shared" si="67"/>
        <v>PABLO MARTINS(SPFC)</v>
      </c>
      <c r="O143" s="9" t="str">
        <f t="shared" si="68"/>
        <v>PABLO MARTINS(SPFC)</v>
      </c>
      <c r="P143" s="9" t="str">
        <f t="shared" si="69"/>
        <v/>
      </c>
      <c r="Q143" s="9" t="str">
        <f t="shared" si="70"/>
        <v/>
      </c>
      <c r="R143" s="9" t="str">
        <f t="shared" si="71"/>
        <v>DJ IURY(BF)</v>
      </c>
      <c r="S143" s="9" t="str">
        <f t="shared" si="72"/>
        <v>DJ IURY(BF)</v>
      </c>
      <c r="T143" s="9">
        <f t="shared" si="73"/>
        <v>0</v>
      </c>
      <c r="U143" s="9" t="str">
        <f t="shared" si="74"/>
        <v>PABLO MARTINS(SPFC)</v>
      </c>
      <c r="V143" s="9">
        <f t="shared" si="75"/>
        <v>2</v>
      </c>
      <c r="W143" s="9">
        <f t="shared" si="76"/>
        <v>0</v>
      </c>
    </row>
    <row r="144" spans="1:23" x14ac:dyDescent="0.2">
      <c r="A144" s="8">
        <v>28</v>
      </c>
      <c r="B144" s="9" t="str">
        <f>VLOOKUP($A144, Equipes!$A$3:$B$42, 2, FALSE)</f>
        <v>CHARLEAUX(CEPE)</v>
      </c>
      <c r="C144" s="18">
        <v>1</v>
      </c>
      <c r="D144" s="10" t="s">
        <v>22</v>
      </c>
      <c r="E144" s="18">
        <v>1</v>
      </c>
      <c r="F144" s="11" t="str">
        <f>VLOOKUP($G144, Equipes!$A$3:$B$42, 2, FALSE)</f>
        <v>GUANABARA(LTVL)</v>
      </c>
      <c r="G144" s="8">
        <v>30</v>
      </c>
      <c r="H144" s="9">
        <v>8</v>
      </c>
      <c r="I144" s="9" t="s">
        <v>17</v>
      </c>
      <c r="J144" s="9">
        <v>7</v>
      </c>
      <c r="M144" s="9" t="str">
        <f t="shared" si="66"/>
        <v>CHARLEAUX(CEPE)</v>
      </c>
      <c r="N144" s="9" t="str">
        <f t="shared" si="67"/>
        <v>GUANABARA(LTVL)</v>
      </c>
      <c r="O144" s="9" t="str">
        <f t="shared" si="68"/>
        <v/>
      </c>
      <c r="P144" s="9" t="str">
        <f t="shared" si="69"/>
        <v>CHARLEAUX(CEPE)</v>
      </c>
      <c r="Q144" s="9" t="str">
        <f t="shared" si="70"/>
        <v>GUANABARA(LTVL)</v>
      </c>
      <c r="R144" s="9" t="str">
        <f t="shared" si="71"/>
        <v/>
      </c>
      <c r="S144" s="9" t="str">
        <f t="shared" si="72"/>
        <v>CHARLEAUX(CEPE)</v>
      </c>
      <c r="T144" s="9">
        <f t="shared" si="73"/>
        <v>1</v>
      </c>
      <c r="U144" s="9" t="str">
        <f t="shared" si="74"/>
        <v>GUANABARA(LTVL)</v>
      </c>
      <c r="V144" s="9">
        <f t="shared" si="75"/>
        <v>1</v>
      </c>
      <c r="W144" s="9">
        <f t="shared" si="76"/>
        <v>1</v>
      </c>
    </row>
    <row r="145" spans="1:23" x14ac:dyDescent="0.2">
      <c r="A145" s="8">
        <v>32</v>
      </c>
      <c r="B145" s="19" t="str">
        <f>VLOOKUP($A145, Equipes!$A$3:$B$42, 2, FALSE)</f>
        <v>BERGAMINI(MZ)</v>
      </c>
      <c r="C145" s="18">
        <v>0</v>
      </c>
      <c r="D145" s="20" t="s">
        <v>22</v>
      </c>
      <c r="E145" s="18">
        <v>4</v>
      </c>
      <c r="F145" s="21" t="str">
        <f>VLOOKUP($G145, Equipes!$A$3:$B$42, 2, FALSE)</f>
        <v>GALDEANO(SCCP)</v>
      </c>
      <c r="G145" s="22">
        <v>31</v>
      </c>
      <c r="H145" s="19">
        <v>16</v>
      </c>
      <c r="I145" s="19" t="s">
        <v>17</v>
      </c>
      <c r="J145" s="19">
        <v>7</v>
      </c>
      <c r="K145" s="19"/>
      <c r="M145" s="9" t="str">
        <f t="shared" si="66"/>
        <v>BERGAMINI(MZ)</v>
      </c>
      <c r="N145" s="9" t="str">
        <f t="shared" si="67"/>
        <v>GALDEANO(SCCP)</v>
      </c>
      <c r="O145" s="9" t="str">
        <f t="shared" si="68"/>
        <v>GALDEANO(SCCP)</v>
      </c>
      <c r="P145" s="9" t="str">
        <f t="shared" si="69"/>
        <v/>
      </c>
      <c r="Q145" s="9" t="str">
        <f t="shared" si="70"/>
        <v/>
      </c>
      <c r="R145" s="9" t="str">
        <f t="shared" si="71"/>
        <v>BERGAMINI(MZ)</v>
      </c>
      <c r="S145" s="9" t="str">
        <f t="shared" si="72"/>
        <v>BERGAMINI(MZ)</v>
      </c>
      <c r="T145" s="9">
        <f t="shared" si="73"/>
        <v>0</v>
      </c>
      <c r="U145" s="9" t="str">
        <f t="shared" si="74"/>
        <v>GALDEANO(SCCP)</v>
      </c>
      <c r="V145" s="9">
        <f t="shared" si="75"/>
        <v>4</v>
      </c>
      <c r="W145" s="9">
        <f t="shared" si="76"/>
        <v>0</v>
      </c>
    </row>
    <row r="146" spans="1:23" x14ac:dyDescent="0.2">
      <c r="A146" s="8">
        <v>33</v>
      </c>
      <c r="B146" s="9" t="str">
        <f>VLOOKUP($A146, Equipes!$A$3:$B$42, 2, FALSE)</f>
        <v>LÉO CARIOCA(MZ)</v>
      </c>
      <c r="C146" s="18">
        <v>0</v>
      </c>
      <c r="D146" s="10" t="s">
        <v>22</v>
      </c>
      <c r="E146" s="18">
        <v>2</v>
      </c>
      <c r="F146" s="11" t="str">
        <f>VLOOKUP($G146, Equipes!$A$3:$B$42, 2, FALSE)</f>
        <v>ZÉ LUIZ(SPFC)</v>
      </c>
      <c r="G146" s="8">
        <v>34</v>
      </c>
      <c r="H146" s="9">
        <v>6</v>
      </c>
      <c r="I146" s="9" t="s">
        <v>16</v>
      </c>
      <c r="J146" s="9">
        <v>7</v>
      </c>
      <c r="M146" s="9" t="str">
        <f t="shared" si="66"/>
        <v>LÉO CARIOCA(MZ)</v>
      </c>
      <c r="N146" s="9" t="str">
        <f t="shared" si="67"/>
        <v>ZÉ LUIZ(SPFC)</v>
      </c>
      <c r="O146" s="9" t="str">
        <f t="shared" si="68"/>
        <v>ZÉ LUIZ(SPFC)</v>
      </c>
      <c r="P146" s="9" t="str">
        <f t="shared" si="69"/>
        <v/>
      </c>
      <c r="Q146" s="9" t="str">
        <f t="shared" si="70"/>
        <v/>
      </c>
      <c r="R146" s="9" t="str">
        <f t="shared" si="71"/>
        <v>LÉO CARIOCA(MZ)</v>
      </c>
      <c r="S146" s="9" t="str">
        <f t="shared" si="72"/>
        <v>LÉO CARIOCA(MZ)</v>
      </c>
      <c r="T146" s="9">
        <f t="shared" si="73"/>
        <v>0</v>
      </c>
      <c r="U146" s="9" t="str">
        <f t="shared" si="74"/>
        <v>ZÉ LUIZ(SPFC)</v>
      </c>
      <c r="V146" s="9">
        <f t="shared" si="75"/>
        <v>2</v>
      </c>
      <c r="W146" s="9">
        <f t="shared" si="76"/>
        <v>0</v>
      </c>
    </row>
    <row r="147" spans="1:23" x14ac:dyDescent="0.2">
      <c r="A147" s="8">
        <v>35</v>
      </c>
      <c r="B147" s="19" t="str">
        <f>VLOOKUP($A147, Equipes!$A$3:$B$42, 2, FALSE)</f>
        <v>TUPINAMBÁ(LTVL)</v>
      </c>
      <c r="C147" s="18">
        <v>2</v>
      </c>
      <c r="D147" s="20" t="s">
        <v>22</v>
      </c>
      <c r="E147" s="18">
        <v>3</v>
      </c>
      <c r="F147" s="21" t="str">
        <f>VLOOKUP($G147, Equipes!$A$3:$B$42, 2, FALSE)</f>
        <v>BRAGHETTO(MZ)</v>
      </c>
      <c r="G147" s="22">
        <v>37</v>
      </c>
      <c r="H147" s="19">
        <v>14</v>
      </c>
      <c r="I147" s="19" t="s">
        <v>16</v>
      </c>
      <c r="J147" s="19">
        <v>7</v>
      </c>
      <c r="K147" s="19"/>
      <c r="M147" s="9" t="str">
        <f t="shared" si="66"/>
        <v>TUPINAMBÁ(LTVL)</v>
      </c>
      <c r="N147" s="9" t="str">
        <f t="shared" si="67"/>
        <v>BRAGHETTO(MZ)</v>
      </c>
      <c r="O147" s="9" t="str">
        <f t="shared" si="68"/>
        <v>BRAGHETTO(MZ)</v>
      </c>
      <c r="P147" s="9" t="str">
        <f t="shared" si="69"/>
        <v/>
      </c>
      <c r="Q147" s="9" t="str">
        <f t="shared" si="70"/>
        <v/>
      </c>
      <c r="R147" s="9" t="str">
        <f t="shared" si="71"/>
        <v>TUPINAMBÁ(LTVL)</v>
      </c>
      <c r="S147" s="9" t="str">
        <f t="shared" si="72"/>
        <v>TUPINAMBÁ(LTVL)</v>
      </c>
      <c r="T147" s="9">
        <f t="shared" si="73"/>
        <v>2</v>
      </c>
      <c r="U147" s="9" t="str">
        <f t="shared" si="74"/>
        <v>BRAGHETTO(MZ)</v>
      </c>
      <c r="V147" s="9">
        <f t="shared" si="75"/>
        <v>3</v>
      </c>
      <c r="W147" s="9">
        <f t="shared" si="76"/>
        <v>2</v>
      </c>
    </row>
    <row r="148" spans="1:23" x14ac:dyDescent="0.2">
      <c r="A148" s="8">
        <v>36</v>
      </c>
      <c r="B148" s="9" t="str">
        <f>VLOOKUP($A148, Equipes!$A$3:$B$42, 2, FALSE)</f>
        <v>RICARDO RAMALHO(BF)</v>
      </c>
      <c r="C148" s="18">
        <v>1</v>
      </c>
      <c r="D148" s="10" t="s">
        <v>22</v>
      </c>
      <c r="E148" s="18">
        <v>2</v>
      </c>
      <c r="F148" s="11" t="str">
        <f>VLOOKUP($G148, Equipes!$A$3:$B$42, 2, FALSE)</f>
        <v>PAULO ROBERTO(SPFC)</v>
      </c>
      <c r="G148" s="8">
        <v>38</v>
      </c>
      <c r="H148" s="9">
        <v>10</v>
      </c>
      <c r="I148" s="9" t="s">
        <v>16</v>
      </c>
      <c r="J148" s="9">
        <v>7</v>
      </c>
      <c r="M148" s="9" t="str">
        <f t="shared" si="66"/>
        <v>RICARDO RAMALHO(BF)</v>
      </c>
      <c r="N148" s="9" t="str">
        <f t="shared" si="67"/>
        <v>PAULO ROBERTO(SPFC)</v>
      </c>
      <c r="O148" s="9" t="str">
        <f t="shared" si="68"/>
        <v>PAULO ROBERTO(SPFC)</v>
      </c>
      <c r="P148" s="9" t="str">
        <f t="shared" si="69"/>
        <v/>
      </c>
      <c r="Q148" s="9" t="str">
        <f t="shared" si="70"/>
        <v/>
      </c>
      <c r="R148" s="9" t="str">
        <f t="shared" si="71"/>
        <v>RICARDO RAMALHO(BF)</v>
      </c>
      <c r="S148" s="9" t="str">
        <f t="shared" si="72"/>
        <v>RICARDO RAMALHO(BF)</v>
      </c>
      <c r="T148" s="9">
        <f t="shared" si="73"/>
        <v>1</v>
      </c>
      <c r="U148" s="9" t="str">
        <f t="shared" si="74"/>
        <v>PAULO ROBERTO(SPFC)</v>
      </c>
      <c r="V148" s="9">
        <f t="shared" si="75"/>
        <v>2</v>
      </c>
      <c r="W148" s="9">
        <f t="shared" si="76"/>
        <v>1</v>
      </c>
    </row>
    <row r="149" spans="1:23" x14ac:dyDescent="0.2">
      <c r="A149" s="8">
        <v>40</v>
      </c>
      <c r="B149" s="19" t="str">
        <f>VLOOKUP($A149, Equipes!$A$3:$B$42, 2, FALSE)</f>
        <v>PEPE 2004(CEPE)</v>
      </c>
      <c r="C149" s="18">
        <v>1</v>
      </c>
      <c r="D149" s="20" t="s">
        <v>22</v>
      </c>
      <c r="E149" s="18">
        <v>3</v>
      </c>
      <c r="F149" s="21" t="str">
        <f>VLOOKUP($G149, Equipes!$A$3:$B$42, 2, FALSE)</f>
        <v>RODRIGO MORO(SCCP)</v>
      </c>
      <c r="G149" s="22">
        <v>39</v>
      </c>
      <c r="H149" s="19">
        <v>11</v>
      </c>
      <c r="I149" s="19" t="s">
        <v>16</v>
      </c>
      <c r="J149" s="19">
        <v>7</v>
      </c>
      <c r="K149" s="19"/>
      <c r="M149" s="9" t="str">
        <f t="shared" si="66"/>
        <v>PEPE 2004(CEPE)</v>
      </c>
      <c r="N149" s="9" t="str">
        <f t="shared" si="67"/>
        <v>RODRIGO MORO(SCCP)</v>
      </c>
      <c r="O149" s="9" t="str">
        <f t="shared" si="68"/>
        <v>RODRIGO MORO(SCCP)</v>
      </c>
      <c r="P149" s="9" t="str">
        <f t="shared" si="69"/>
        <v/>
      </c>
      <c r="Q149" s="9" t="str">
        <f t="shared" si="70"/>
        <v/>
      </c>
      <c r="R149" s="9" t="str">
        <f t="shared" si="71"/>
        <v>PEPE 2004(CEPE)</v>
      </c>
      <c r="S149" s="9" t="str">
        <f t="shared" si="72"/>
        <v>PEPE 2004(CEPE)</v>
      </c>
      <c r="T149" s="9">
        <f t="shared" si="73"/>
        <v>1</v>
      </c>
      <c r="U149" s="9" t="str">
        <f t="shared" si="74"/>
        <v>RODRIGO MORO(SCCP)</v>
      </c>
      <c r="V149" s="9">
        <f t="shared" si="75"/>
        <v>3</v>
      </c>
      <c r="W149" s="9">
        <f t="shared" si="76"/>
        <v>1</v>
      </c>
    </row>
  </sheetData>
  <sheetProtection sheet="1" objects="1" scenarios="1" selectLockedCells="1"/>
  <phoneticPr fontId="26" type="noConversion"/>
  <pageMargins left="0.25" right="0.25" top="0.75" bottom="0.75" header="0.3" footer="0.3"/>
  <pageSetup paperSize="9" scale="95" fitToHeight="0" orientation="landscape" r:id="rId1"/>
  <rowBreaks count="1" manualBreakCount="1">
    <brk id="34" max="16383" man="1"/>
  </rowBreaks>
  <colBreaks count="1" manualBreakCount="1">
    <brk id="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06"/>
  <sheetViews>
    <sheetView showGridLines="0" workbookViewId="0">
      <pane ySplit="1" topLeftCell="A2" activePane="bottomLeft" state="frozen"/>
      <selection pane="bottomLeft" activeCell="A3" sqref="A3"/>
    </sheetView>
  </sheetViews>
  <sheetFormatPr defaultColWidth="10.8515625" defaultRowHeight="12.75" x14ac:dyDescent="0.2"/>
  <cols>
    <col min="1" max="1" width="5.17578125" style="25" customWidth="1"/>
    <col min="2" max="2" width="3.57421875" style="25" customWidth="1"/>
    <col min="3" max="3" width="7.3984375" style="25" customWidth="1"/>
    <col min="4" max="4" width="20.83984375" style="26" customWidth="1"/>
    <col min="5" max="13" width="7.3984375" style="25" customWidth="1"/>
    <col min="14" max="14" width="10.8515625" style="25"/>
    <col min="15" max="17" width="10.8515625" style="27"/>
    <col min="18" max="16384" width="10.8515625" style="24"/>
  </cols>
  <sheetData>
    <row r="1" spans="1:19" ht="21" x14ac:dyDescent="0.25">
      <c r="B1" s="2" t="s">
        <v>32</v>
      </c>
      <c r="S1" s="24" t="s">
        <v>41</v>
      </c>
    </row>
    <row r="2" spans="1:19" ht="13.5" x14ac:dyDescent="0.2">
      <c r="B2" s="3" t="s">
        <v>1</v>
      </c>
      <c r="S2" s="24">
        <f>SUM($G$6:$G$53)</f>
        <v>280</v>
      </c>
    </row>
    <row r="3" spans="1:19" x14ac:dyDescent="0.2">
      <c r="E3" s="28">
        <v>100000000</v>
      </c>
      <c r="F3" s="28">
        <v>100000</v>
      </c>
      <c r="H3" s="28">
        <v>10000</v>
      </c>
      <c r="K3" s="28">
        <v>1</v>
      </c>
      <c r="M3" s="28">
        <v>100</v>
      </c>
    </row>
    <row r="5" spans="1:19" ht="23.25" x14ac:dyDescent="0.35">
      <c r="A5" s="25" t="s">
        <v>33</v>
      </c>
      <c r="B5" s="25" t="s">
        <v>23</v>
      </c>
      <c r="C5" s="29" t="s">
        <v>23</v>
      </c>
      <c r="D5" s="30" t="s">
        <v>34</v>
      </c>
      <c r="E5" s="32" t="s">
        <v>35</v>
      </c>
      <c r="F5" s="32" t="s">
        <v>36</v>
      </c>
      <c r="G5" s="32" t="s">
        <v>14</v>
      </c>
      <c r="H5" s="32" t="s">
        <v>15</v>
      </c>
      <c r="I5" s="32" t="s">
        <v>16</v>
      </c>
      <c r="J5" s="32" t="s">
        <v>17</v>
      </c>
      <c r="K5" s="32" t="s">
        <v>37</v>
      </c>
      <c r="L5" s="32" t="s">
        <v>38</v>
      </c>
      <c r="M5" s="32" t="s">
        <v>39</v>
      </c>
      <c r="N5" s="31" t="s">
        <v>40</v>
      </c>
    </row>
    <row r="6" spans="1:19" x14ac:dyDescent="0.2">
      <c r="A6" s="25" t="str">
        <f t="shared" ref="A6:A13" ca="1" si="0">CONCATENATE(C6,B6)</f>
        <v>2A</v>
      </c>
      <c r="B6" s="25" t="s">
        <v>23</v>
      </c>
      <c r="C6" s="25">
        <f t="shared" ref="C6:C13" ca="1" si="1">IF(SUM($G$6:$G$13)=0,0,_xlfn.RANK.EQ(N6,$N$6:$N$13))</f>
        <v>2</v>
      </c>
      <c r="D6" s="26" t="str">
        <f>VLOOKUP($O6, Equipes!$A$3:$B$42, 2, FALSE)</f>
        <v>RUAS(CEPE)</v>
      </c>
      <c r="E6" s="33">
        <f t="shared" ref="E6:E13" si="2">IF(G6=0,0,(F6)/(G6*3))</f>
        <v>0.66666666666666663</v>
      </c>
      <c r="F6" s="25">
        <f t="shared" ref="F6:F13" si="3">(H6*3)+(I6*1)</f>
        <v>14</v>
      </c>
      <c r="G6" s="25">
        <f>COUNTIF(Jogos!$M$1:$N$149, $D6)</f>
        <v>7</v>
      </c>
      <c r="H6" s="25">
        <f>COUNTIF(Jogos!$O$1:$O$149, $D6)</f>
        <v>4</v>
      </c>
      <c r="I6" s="25">
        <f>COUNTIF(Jogos!$P$1:$Q$149, $D6)</f>
        <v>2</v>
      </c>
      <c r="J6" s="25">
        <f>COUNTIF(Jogos!$R$1:$R$149, $D6)</f>
        <v>1</v>
      </c>
      <c r="K6" s="25">
        <f ca="1">SUMIF(Jogos!$S$1:$T$149, $D6, Jogos!$T$1:$T$149)+SUMIF(Jogos!$U$1:$V$149, $D6, Jogos!$V$1:$V$149)</f>
        <v>13</v>
      </c>
      <c r="L6" s="25">
        <f ca="1">SUMIF(Jogos!$S$1:$V$149, $D6, Jogos!$V$1:$V$149)+SUMIF(Jogos!$U$1:$W$149, $D6, Jogos!$W$1:$W$149)</f>
        <v>8</v>
      </c>
      <c r="M6" s="25">
        <f t="shared" ref="M6:M13" ca="1" si="4">K6-L6</f>
        <v>5</v>
      </c>
      <c r="N6" s="25">
        <f t="shared" ref="N6:N13" ca="1" si="5">(E6*E$3+F6*F$3+H6*H$3+M6*M$3+K6*K$3)/(E$3/100)-ROW(N6)/E$3</f>
        <v>68.107179606666648</v>
      </c>
      <c r="O6" s="27">
        <v>1</v>
      </c>
      <c r="P6" s="27">
        <f t="shared" ref="P6:P13" ca="1" si="6">(E6*E$3+F6*F$3+H6*H$3+M6*M$3+K6*K$3)/(E$3/100)</f>
        <v>68.107179666666653</v>
      </c>
      <c r="Q6" s="27">
        <f t="shared" ref="Q6:Q13" ca="1" si="7">IF(SUM($G$6:$G$13)=0,0,_xlfn.RANK.EQ(P6,$P$6:$P$13))</f>
        <v>2</v>
      </c>
    </row>
    <row r="7" spans="1:19" x14ac:dyDescent="0.2">
      <c r="A7" s="25" t="str">
        <f t="shared" ca="1" si="0"/>
        <v>1A</v>
      </c>
      <c r="B7" s="25" t="s">
        <v>23</v>
      </c>
      <c r="C7" s="25">
        <f t="shared" ca="1" si="1"/>
        <v>1</v>
      </c>
      <c r="D7" s="26" t="str">
        <f>VLOOKUP($O7, Equipes!$A$3:$B$42, 2, FALSE)</f>
        <v>MARCOS WILLOW(SCCP)</v>
      </c>
      <c r="E7" s="33">
        <f t="shared" si="2"/>
        <v>0.76190476190476186</v>
      </c>
      <c r="F7" s="25">
        <f t="shared" si="3"/>
        <v>16</v>
      </c>
      <c r="G7" s="25">
        <f>COUNTIF(Jogos!$M$1:$N$149, $D7)</f>
        <v>7</v>
      </c>
      <c r="H7" s="25">
        <f>COUNTIF(Jogos!$O$1:$O$149, $D7)</f>
        <v>5</v>
      </c>
      <c r="I7" s="25">
        <f>COUNTIF(Jogos!$P$1:$Q$149, $D7)</f>
        <v>1</v>
      </c>
      <c r="J7" s="25">
        <f>COUNTIF(Jogos!$R$1:$R$149, $D7)</f>
        <v>1</v>
      </c>
      <c r="K7" s="25">
        <f ca="1">SUMIF(Jogos!$S$1:$T$149, $D7, Jogos!$T$1:$T$149)+SUMIF(Jogos!$U$1:$V$149, $D7, Jogos!$V$1:$V$149)</f>
        <v>16</v>
      </c>
      <c r="L7" s="25">
        <f ca="1">SUMIF(Jogos!$S$1:$V$149, $D7, Jogos!$V$1:$V$149)+SUMIF(Jogos!$U$1:$W$149, $D7, Jogos!$W$1:$W$149)</f>
        <v>9</v>
      </c>
      <c r="M7" s="25">
        <f t="shared" ca="1" si="4"/>
        <v>7</v>
      </c>
      <c r="N7" s="25">
        <f t="shared" ca="1" si="5"/>
        <v>77.84119212047618</v>
      </c>
      <c r="O7" s="27">
        <v>2</v>
      </c>
      <c r="P7" s="27">
        <f t="shared" ca="1" si="6"/>
        <v>77.841192190476178</v>
      </c>
      <c r="Q7" s="27">
        <f t="shared" ca="1" si="7"/>
        <v>1</v>
      </c>
    </row>
    <row r="8" spans="1:19" x14ac:dyDescent="0.2">
      <c r="A8" s="25" t="str">
        <f t="shared" ca="1" si="0"/>
        <v>6A</v>
      </c>
      <c r="B8" s="25" t="s">
        <v>23</v>
      </c>
      <c r="C8" s="25">
        <f t="shared" ca="1" si="1"/>
        <v>6</v>
      </c>
      <c r="D8" s="26" t="str">
        <f>VLOOKUP($O8, Equipes!$A$3:$B$42, 2, FALSE)</f>
        <v>SALLYS(SPFC)</v>
      </c>
      <c r="E8" s="33">
        <f t="shared" si="2"/>
        <v>0.33333333333333331</v>
      </c>
      <c r="F8" s="25">
        <f t="shared" si="3"/>
        <v>7</v>
      </c>
      <c r="G8" s="25">
        <f>COUNTIF(Jogos!$M$1:$N$149, $D8)</f>
        <v>7</v>
      </c>
      <c r="H8" s="25">
        <f>COUNTIF(Jogos!$O$1:$O$149, $D8)</f>
        <v>1</v>
      </c>
      <c r="I8" s="25">
        <f>COUNTIF(Jogos!$P$1:$Q$149, $D8)</f>
        <v>4</v>
      </c>
      <c r="J8" s="25">
        <f>COUNTIF(Jogos!$R$1:$R$149, $D8)</f>
        <v>2</v>
      </c>
      <c r="K8" s="25">
        <f ca="1">SUMIF(Jogos!$S$1:$T$149, $D8, Jogos!$T$1:$T$149)+SUMIF(Jogos!$U$1:$V$149, $D8, Jogos!$V$1:$V$149)</f>
        <v>11</v>
      </c>
      <c r="L8" s="25">
        <f ca="1">SUMIF(Jogos!$S$1:$V$149, $D8, Jogos!$V$1:$V$149)+SUMIF(Jogos!$U$1:$W$149, $D8, Jogos!$W$1:$W$149)</f>
        <v>12</v>
      </c>
      <c r="M8" s="25">
        <f t="shared" ca="1" si="4"/>
        <v>-1</v>
      </c>
      <c r="N8" s="25">
        <f t="shared" ca="1" si="5"/>
        <v>34.043244253333327</v>
      </c>
      <c r="O8" s="27">
        <v>3</v>
      </c>
      <c r="P8" s="27">
        <f t="shared" ca="1" si="6"/>
        <v>34.043244333333327</v>
      </c>
      <c r="Q8" s="27">
        <f t="shared" ca="1" si="7"/>
        <v>6</v>
      </c>
    </row>
    <row r="9" spans="1:19" x14ac:dyDescent="0.2">
      <c r="A9" s="25" t="str">
        <f t="shared" ca="1" si="0"/>
        <v>4A</v>
      </c>
      <c r="B9" s="25" t="s">
        <v>23</v>
      </c>
      <c r="C9" s="25">
        <f t="shared" ca="1" si="1"/>
        <v>4</v>
      </c>
      <c r="D9" s="26" t="str">
        <f>VLOOKUP($O9, Equipes!$A$3:$B$42, 2, FALSE)</f>
        <v>PROFESSOR(LTVL)</v>
      </c>
      <c r="E9" s="33">
        <f t="shared" si="2"/>
        <v>0.47619047619047616</v>
      </c>
      <c r="F9" s="25">
        <f t="shared" si="3"/>
        <v>10</v>
      </c>
      <c r="G9" s="25">
        <f>COUNTIF(Jogos!$M$1:$N$149, $D9)</f>
        <v>7</v>
      </c>
      <c r="H9" s="25">
        <f>COUNTIF(Jogos!$O$1:$O$149, $D9)</f>
        <v>3</v>
      </c>
      <c r="I9" s="25">
        <f>COUNTIF(Jogos!$P$1:$Q$149, $D9)</f>
        <v>1</v>
      </c>
      <c r="J9" s="25">
        <f>COUNTIF(Jogos!$R$1:$R$149, $D9)</f>
        <v>3</v>
      </c>
      <c r="K9" s="25">
        <f ca="1">SUMIF(Jogos!$S$1:$T$149, $D9, Jogos!$T$1:$T$149)+SUMIF(Jogos!$U$1:$V$149, $D9, Jogos!$V$1:$V$149)</f>
        <v>6</v>
      </c>
      <c r="L9" s="25">
        <f ca="1">SUMIF(Jogos!$S$1:$V$149, $D9, Jogos!$V$1:$V$149)+SUMIF(Jogos!$U$1:$W$149, $D9, Jogos!$W$1:$W$149)</f>
        <v>9</v>
      </c>
      <c r="M9" s="25">
        <f t="shared" ca="1" si="4"/>
        <v>-3</v>
      </c>
      <c r="N9" s="25">
        <f t="shared" ca="1" si="5"/>
        <v>48.648753529047617</v>
      </c>
      <c r="O9" s="27">
        <v>4</v>
      </c>
      <c r="P9" s="27">
        <f t="shared" ca="1" si="6"/>
        <v>48.648753619047618</v>
      </c>
      <c r="Q9" s="27">
        <f t="shared" ca="1" si="7"/>
        <v>4</v>
      </c>
    </row>
    <row r="10" spans="1:19" x14ac:dyDescent="0.2">
      <c r="A10" s="25" t="str">
        <f t="shared" ca="1" si="0"/>
        <v>7A</v>
      </c>
      <c r="B10" s="25" t="s">
        <v>23</v>
      </c>
      <c r="C10" s="25">
        <f t="shared" ca="1" si="1"/>
        <v>7</v>
      </c>
      <c r="D10" s="26" t="str">
        <f>VLOOKUP($O10, Equipes!$A$3:$B$42, 2, FALSE)</f>
        <v>CLÉO JR (CEPE)</v>
      </c>
      <c r="E10" s="33">
        <f t="shared" si="2"/>
        <v>0.2857142857142857</v>
      </c>
      <c r="F10" s="25">
        <f t="shared" si="3"/>
        <v>6</v>
      </c>
      <c r="G10" s="25">
        <f>COUNTIF(Jogos!$M$1:$N$149, $D10)</f>
        <v>7</v>
      </c>
      <c r="H10" s="25">
        <f>COUNTIF(Jogos!$O$1:$O$149, $D10)</f>
        <v>1</v>
      </c>
      <c r="I10" s="25">
        <f>COUNTIF(Jogos!$P$1:$Q$149, $D10)</f>
        <v>3</v>
      </c>
      <c r="J10" s="25">
        <f>COUNTIF(Jogos!$R$1:$R$149, $D10)</f>
        <v>3</v>
      </c>
      <c r="K10" s="25">
        <f ca="1">SUMIF(Jogos!$S$1:$T$149, $D10, Jogos!$T$1:$T$149)+SUMIF(Jogos!$U$1:$V$149, $D10, Jogos!$V$1:$V$149)</f>
        <v>10</v>
      </c>
      <c r="L10" s="25">
        <f ca="1">SUMIF(Jogos!$S$1:$V$149, $D10, Jogos!$V$1:$V$149)+SUMIF(Jogos!$U$1:$W$149, $D10, Jogos!$W$1:$W$149)</f>
        <v>10</v>
      </c>
      <c r="M10" s="25">
        <f t="shared" ca="1" si="4"/>
        <v>0</v>
      </c>
      <c r="N10" s="25">
        <f t="shared" ca="1" si="5"/>
        <v>29.181438471428571</v>
      </c>
      <c r="O10" s="27">
        <v>5</v>
      </c>
      <c r="P10" s="27">
        <f t="shared" ca="1" si="6"/>
        <v>29.181438571428572</v>
      </c>
      <c r="Q10" s="27">
        <f t="shared" ca="1" si="7"/>
        <v>7</v>
      </c>
    </row>
    <row r="11" spans="1:19" x14ac:dyDescent="0.2">
      <c r="A11" s="25" t="str">
        <f t="shared" ca="1" si="0"/>
        <v>5A</v>
      </c>
      <c r="B11" s="25" t="s">
        <v>23</v>
      </c>
      <c r="C11" s="25">
        <f t="shared" ca="1" si="1"/>
        <v>5</v>
      </c>
      <c r="D11" s="26" t="str">
        <f>VLOOKUP($O11, Equipes!$A$3:$B$42, 2, FALSE)</f>
        <v>COELHO(SCCP)</v>
      </c>
      <c r="E11" s="33">
        <f t="shared" si="2"/>
        <v>0.33333333333333331</v>
      </c>
      <c r="F11" s="25">
        <f t="shared" si="3"/>
        <v>7</v>
      </c>
      <c r="G11" s="25">
        <f>COUNTIF(Jogos!$M$1:$N$149, $D11)</f>
        <v>7</v>
      </c>
      <c r="H11" s="25">
        <f>COUNTIF(Jogos!$O$1:$O$149, $D11)</f>
        <v>2</v>
      </c>
      <c r="I11" s="25">
        <f>COUNTIF(Jogos!$P$1:$Q$149, $D11)</f>
        <v>1</v>
      </c>
      <c r="J11" s="25">
        <f>COUNTIF(Jogos!$R$1:$R$149, $D11)</f>
        <v>4</v>
      </c>
      <c r="K11" s="25">
        <f ca="1">SUMIF(Jogos!$S$1:$T$149, $D11, Jogos!$T$1:$T$149)+SUMIF(Jogos!$U$1:$V$149, $D11, Jogos!$V$1:$V$149)</f>
        <v>11</v>
      </c>
      <c r="L11" s="25">
        <f ca="1">SUMIF(Jogos!$S$1:$V$149, $D11, Jogos!$V$1:$V$149)+SUMIF(Jogos!$U$1:$W$149, $D11, Jogos!$W$1:$W$149)</f>
        <v>17</v>
      </c>
      <c r="M11" s="25">
        <f t="shared" ca="1" si="4"/>
        <v>-6</v>
      </c>
      <c r="N11" s="25">
        <f t="shared" ca="1" si="5"/>
        <v>34.052744223333328</v>
      </c>
      <c r="O11" s="27">
        <v>6</v>
      </c>
      <c r="P11" s="27">
        <f t="shared" ca="1" si="6"/>
        <v>34.05274433333333</v>
      </c>
      <c r="Q11" s="27">
        <f t="shared" ca="1" si="7"/>
        <v>5</v>
      </c>
    </row>
    <row r="12" spans="1:19" x14ac:dyDescent="0.2">
      <c r="A12" s="25" t="str">
        <f t="shared" ca="1" si="0"/>
        <v>3A</v>
      </c>
      <c r="B12" s="25" t="s">
        <v>23</v>
      </c>
      <c r="C12" s="25">
        <f t="shared" ca="1" si="1"/>
        <v>3</v>
      </c>
      <c r="D12" s="26" t="str">
        <f>VLOOKUP($O12, Equipes!$A$3:$B$42, 2, FALSE)</f>
        <v>AURÉLIO(BF)</v>
      </c>
      <c r="E12" s="33">
        <f t="shared" si="2"/>
        <v>0.52380952380952384</v>
      </c>
      <c r="F12" s="25">
        <f t="shared" si="3"/>
        <v>11</v>
      </c>
      <c r="G12" s="25">
        <f>COUNTIF(Jogos!$M$1:$N$149, $D12)</f>
        <v>7</v>
      </c>
      <c r="H12" s="25">
        <f>COUNTIF(Jogos!$O$1:$O$149, $D12)</f>
        <v>3</v>
      </c>
      <c r="I12" s="25">
        <f>COUNTIF(Jogos!$P$1:$Q$149, $D12)</f>
        <v>2</v>
      </c>
      <c r="J12" s="25">
        <f>COUNTIF(Jogos!$R$1:$R$149, $D12)</f>
        <v>2</v>
      </c>
      <c r="K12" s="25">
        <f ca="1">SUMIF(Jogos!$S$1:$T$149, $D12, Jogos!$T$1:$T$149)+SUMIF(Jogos!$U$1:$V$149, $D12, Jogos!$V$1:$V$149)</f>
        <v>10</v>
      </c>
      <c r="L12" s="25">
        <f ca="1">SUMIF(Jogos!$S$1:$V$149, $D12, Jogos!$V$1:$V$149)+SUMIF(Jogos!$U$1:$W$149, $D12, Jogos!$W$1:$W$149)</f>
        <v>8</v>
      </c>
      <c r="M12" s="25">
        <f t="shared" ca="1" si="4"/>
        <v>2</v>
      </c>
      <c r="N12" s="25">
        <f t="shared" ca="1" si="5"/>
        <v>53.511162260952375</v>
      </c>
      <c r="O12" s="27">
        <v>7</v>
      </c>
      <c r="P12" s="27">
        <f t="shared" ca="1" si="6"/>
        <v>53.511162380952378</v>
      </c>
      <c r="Q12" s="27">
        <f t="shared" ca="1" si="7"/>
        <v>3</v>
      </c>
    </row>
    <row r="13" spans="1:19" x14ac:dyDescent="0.2">
      <c r="A13" s="25" t="str">
        <f t="shared" ca="1" si="0"/>
        <v>8A</v>
      </c>
      <c r="B13" s="25" t="s">
        <v>23</v>
      </c>
      <c r="C13" s="25">
        <f t="shared" ca="1" si="1"/>
        <v>8</v>
      </c>
      <c r="D13" s="26" t="str">
        <f>VLOOKUP($O13, Equipes!$A$3:$B$42, 2, FALSE)</f>
        <v>CORTEZ(MZ)</v>
      </c>
      <c r="E13" s="33">
        <f t="shared" si="2"/>
        <v>0.23809523809523808</v>
      </c>
      <c r="F13" s="25">
        <f t="shared" si="3"/>
        <v>5</v>
      </c>
      <c r="G13" s="25">
        <f>COUNTIF(Jogos!$M$1:$N$149, $D13)</f>
        <v>7</v>
      </c>
      <c r="H13" s="25">
        <f>COUNTIF(Jogos!$O$1:$O$149, $D13)</f>
        <v>1</v>
      </c>
      <c r="I13" s="25">
        <f>COUNTIF(Jogos!$P$1:$Q$149, $D13)</f>
        <v>2</v>
      </c>
      <c r="J13" s="25">
        <f>COUNTIF(Jogos!$R$1:$R$149, $D13)</f>
        <v>4</v>
      </c>
      <c r="K13" s="25">
        <f ca="1">SUMIF(Jogos!$S$1:$T$149, $D13, Jogos!$T$1:$T$149)+SUMIF(Jogos!$U$1:$V$149, $D13, Jogos!$V$1:$V$149)</f>
        <v>8</v>
      </c>
      <c r="L13" s="25">
        <f ca="1">SUMIF(Jogos!$S$1:$V$149, $D13, Jogos!$V$1:$V$149)+SUMIF(Jogos!$U$1:$W$149, $D13, Jogos!$W$1:$W$149)</f>
        <v>12</v>
      </c>
      <c r="M13" s="25">
        <f t="shared" ca="1" si="4"/>
        <v>-4</v>
      </c>
      <c r="N13" s="25">
        <f t="shared" ca="1" si="5"/>
        <v>24.31913167952381</v>
      </c>
      <c r="O13" s="27">
        <v>8</v>
      </c>
      <c r="P13" s="27">
        <f t="shared" ca="1" si="6"/>
        <v>24.31913180952381</v>
      </c>
      <c r="Q13" s="27">
        <f t="shared" ca="1" si="7"/>
        <v>8</v>
      </c>
    </row>
    <row r="15" spans="1:19" ht="23.25" x14ac:dyDescent="0.35">
      <c r="A15" s="25" t="s">
        <v>33</v>
      </c>
      <c r="B15" s="25" t="s">
        <v>24</v>
      </c>
      <c r="C15" s="29" t="s">
        <v>24</v>
      </c>
      <c r="D15" s="30" t="s">
        <v>34</v>
      </c>
      <c r="E15" s="32" t="s">
        <v>35</v>
      </c>
      <c r="F15" s="32" t="s">
        <v>36</v>
      </c>
      <c r="G15" s="32" t="s">
        <v>14</v>
      </c>
      <c r="H15" s="32" t="s">
        <v>15</v>
      </c>
      <c r="I15" s="32" t="s">
        <v>16</v>
      </c>
      <c r="J15" s="32" t="s">
        <v>17</v>
      </c>
      <c r="K15" s="32" t="s">
        <v>37</v>
      </c>
      <c r="L15" s="32" t="s">
        <v>38</v>
      </c>
      <c r="M15" s="32" t="s">
        <v>39</v>
      </c>
      <c r="N15" s="31" t="s">
        <v>40</v>
      </c>
    </row>
    <row r="16" spans="1:19" x14ac:dyDescent="0.2">
      <c r="A16" s="25" t="str">
        <f t="shared" ref="A16:A23" ca="1" si="8">CONCATENATE(C16,B16)</f>
        <v>2B</v>
      </c>
      <c r="B16" s="25" t="s">
        <v>24</v>
      </c>
      <c r="C16" s="25">
        <f t="shared" ref="C16:C23" ca="1" si="9">IF(SUM($G$16:$G$23)=0,0,_xlfn.RANK.EQ(N16,$N$16:$N$23))</f>
        <v>2</v>
      </c>
      <c r="D16" s="26" t="str">
        <f>VLOOKUP($O16, Equipes!$A$3:$B$42, 2, FALSE)</f>
        <v>TABAJARA(CEPE)</v>
      </c>
      <c r="E16" s="33">
        <f t="shared" ref="E16:E23" si="10">IF(G16=0,0,(F16)/(G16*3))</f>
        <v>0.7142857142857143</v>
      </c>
      <c r="F16" s="25">
        <f t="shared" ref="F16:F23" si="11">(H16*3)+(I16*1)</f>
        <v>15</v>
      </c>
      <c r="G16" s="25">
        <f>COUNTIF(Jogos!$M$1:$N$149, $D16)</f>
        <v>7</v>
      </c>
      <c r="H16" s="25">
        <f>COUNTIF(Jogos!$O$1:$O$149, $D16)</f>
        <v>4</v>
      </c>
      <c r="I16" s="25">
        <f>COUNTIF(Jogos!$P$1:$Q$149, $D16)</f>
        <v>3</v>
      </c>
      <c r="J16" s="25">
        <f>COUNTIF(Jogos!$R$1:$R$149, $D16)</f>
        <v>0</v>
      </c>
      <c r="K16" s="25">
        <f ca="1">SUMIF(Jogos!$S$1:$T$149, $D16, Jogos!$T$1:$T$149)+SUMIF(Jogos!$U$1:$V$149, $D16, Jogos!$V$1:$V$149)</f>
        <v>18</v>
      </c>
      <c r="L16" s="25">
        <f ca="1">SUMIF(Jogos!$S$1:$V$149, $D16, Jogos!$V$1:$V$149)+SUMIF(Jogos!$U$1:$W$149, $D16, Jogos!$W$1:$W$149)</f>
        <v>6</v>
      </c>
      <c r="M16" s="25">
        <f t="shared" ref="M16:M23" ca="1" si="12">K16-L16</f>
        <v>12</v>
      </c>
      <c r="N16" s="25">
        <f t="shared" ref="N16:N23" ca="1" si="13">(E16*E$3+F16*F$3+H16*H$3+M16*M$3+K16*K$3)/(E$3/100)-ROW(N16)/E$3</f>
        <v>72.969789268571432</v>
      </c>
      <c r="O16" s="27">
        <v>9</v>
      </c>
      <c r="P16" s="27">
        <f t="shared" ref="P16:P23" ca="1" si="14">(E16*E$3+F16*F$3+H16*H$3+M16*M$3+K16*K$3)/(E$3/100)</f>
        <v>72.969789428571431</v>
      </c>
      <c r="Q16" s="27">
        <f t="shared" ref="Q16:Q23" ca="1" si="15">IF(SUM($G$16:$G$23)=0,0,_xlfn.RANK.EQ(P16,$P$16:$P$23))</f>
        <v>2</v>
      </c>
    </row>
    <row r="17" spans="1:17" x14ac:dyDescent="0.2">
      <c r="A17" s="25" t="str">
        <f t="shared" ca="1" si="8"/>
        <v>8B</v>
      </c>
      <c r="B17" s="25" t="s">
        <v>24</v>
      </c>
      <c r="C17" s="25">
        <f t="shared" ca="1" si="9"/>
        <v>8</v>
      </c>
      <c r="D17" s="26" t="str">
        <f>VLOOKUP($O17, Equipes!$A$3:$B$42, 2, FALSE)</f>
        <v>REGINALDO(SCCP)</v>
      </c>
      <c r="E17" s="33">
        <f t="shared" si="10"/>
        <v>0.19047619047619047</v>
      </c>
      <c r="F17" s="25">
        <f t="shared" si="11"/>
        <v>4</v>
      </c>
      <c r="G17" s="25">
        <f>COUNTIF(Jogos!$M$1:$N$149, $D17)</f>
        <v>7</v>
      </c>
      <c r="H17" s="25">
        <f>COUNTIF(Jogos!$O$1:$O$149, $D17)</f>
        <v>0</v>
      </c>
      <c r="I17" s="25">
        <f>COUNTIF(Jogos!$P$1:$Q$149, $D17)</f>
        <v>4</v>
      </c>
      <c r="J17" s="25">
        <f>COUNTIF(Jogos!$R$1:$R$149, $D17)</f>
        <v>3</v>
      </c>
      <c r="K17" s="25">
        <f ca="1">SUMIF(Jogos!$S$1:$T$149, $D17, Jogos!$T$1:$T$149)+SUMIF(Jogos!$U$1:$V$149, $D17, Jogos!$V$1:$V$149)</f>
        <v>7</v>
      </c>
      <c r="L17" s="25">
        <f ca="1">SUMIF(Jogos!$S$1:$V$149, $D17, Jogos!$V$1:$V$149)+SUMIF(Jogos!$U$1:$W$149, $D17, Jogos!$W$1:$W$149)</f>
        <v>14</v>
      </c>
      <c r="M17" s="25">
        <f t="shared" ca="1" si="12"/>
        <v>-7</v>
      </c>
      <c r="N17" s="25">
        <f t="shared" ca="1" si="13"/>
        <v>19.446925877619044</v>
      </c>
      <c r="O17" s="27">
        <v>10</v>
      </c>
      <c r="P17" s="27">
        <f t="shared" ca="1" si="14"/>
        <v>19.446926047619044</v>
      </c>
      <c r="Q17" s="27">
        <f t="shared" ca="1" si="15"/>
        <v>8</v>
      </c>
    </row>
    <row r="18" spans="1:17" x14ac:dyDescent="0.2">
      <c r="A18" s="25" t="str">
        <f t="shared" ca="1" si="8"/>
        <v>4B</v>
      </c>
      <c r="B18" s="25" t="s">
        <v>24</v>
      </c>
      <c r="C18" s="25">
        <f t="shared" ca="1" si="9"/>
        <v>4</v>
      </c>
      <c r="D18" s="26" t="str">
        <f>VLOOKUP($O18, Equipes!$A$3:$B$42, 2, FALSE)</f>
        <v>ELSIO(SPFC)</v>
      </c>
      <c r="E18" s="33">
        <f t="shared" si="10"/>
        <v>0.38095238095238093</v>
      </c>
      <c r="F18" s="25">
        <f t="shared" si="11"/>
        <v>8</v>
      </c>
      <c r="G18" s="25">
        <f>COUNTIF(Jogos!$M$1:$N$149, $D18)</f>
        <v>7</v>
      </c>
      <c r="H18" s="25">
        <f>COUNTIF(Jogos!$O$1:$O$149, $D18)</f>
        <v>2</v>
      </c>
      <c r="I18" s="25">
        <f>COUNTIF(Jogos!$P$1:$Q$149, $D18)</f>
        <v>2</v>
      </c>
      <c r="J18" s="25">
        <f>COUNTIF(Jogos!$R$1:$R$149, $D18)</f>
        <v>3</v>
      </c>
      <c r="K18" s="25">
        <f ca="1">SUMIF(Jogos!$S$1:$T$149, $D18, Jogos!$T$1:$T$149)+SUMIF(Jogos!$U$1:$V$149, $D18, Jogos!$V$1:$V$149)</f>
        <v>11</v>
      </c>
      <c r="L18" s="25">
        <f ca="1">SUMIF(Jogos!$S$1:$V$149, $D18, Jogos!$V$1:$V$149)+SUMIF(Jogos!$U$1:$W$149, $D18, Jogos!$W$1:$W$149)</f>
        <v>11</v>
      </c>
      <c r="M18" s="25">
        <f t="shared" ca="1" si="12"/>
        <v>0</v>
      </c>
      <c r="N18" s="25">
        <f t="shared" ca="1" si="13"/>
        <v>38.915248915238088</v>
      </c>
      <c r="O18" s="27">
        <v>11</v>
      </c>
      <c r="P18" s="27">
        <f t="shared" ca="1" si="14"/>
        <v>38.915249095238089</v>
      </c>
      <c r="Q18" s="27">
        <f t="shared" ca="1" si="15"/>
        <v>4</v>
      </c>
    </row>
    <row r="19" spans="1:17" x14ac:dyDescent="0.2">
      <c r="A19" s="25" t="str">
        <f t="shared" ca="1" si="8"/>
        <v>7B</v>
      </c>
      <c r="B19" s="25" t="s">
        <v>24</v>
      </c>
      <c r="C19" s="25">
        <f t="shared" ca="1" si="9"/>
        <v>7</v>
      </c>
      <c r="D19" s="26" t="str">
        <f>VLOOKUP($O19, Equipes!$A$3:$B$42, 2, FALSE)</f>
        <v>MARIELCIO(LTVL)</v>
      </c>
      <c r="E19" s="33">
        <f t="shared" si="10"/>
        <v>0.19047619047619047</v>
      </c>
      <c r="F19" s="25">
        <f t="shared" si="11"/>
        <v>4</v>
      </c>
      <c r="G19" s="25">
        <f>COUNTIF(Jogos!$M$1:$N$149, $D19)</f>
        <v>7</v>
      </c>
      <c r="H19" s="25">
        <f>COUNTIF(Jogos!$O$1:$O$149, $D19)</f>
        <v>1</v>
      </c>
      <c r="I19" s="25">
        <f>COUNTIF(Jogos!$P$1:$Q$149, $D19)</f>
        <v>1</v>
      </c>
      <c r="J19" s="25">
        <f>COUNTIF(Jogos!$R$1:$R$149, $D19)</f>
        <v>5</v>
      </c>
      <c r="K19" s="25">
        <f ca="1">SUMIF(Jogos!$S$1:$T$149, $D19, Jogos!$T$1:$T$149)+SUMIF(Jogos!$U$1:$V$149, $D19, Jogos!$V$1:$V$149)</f>
        <v>5</v>
      </c>
      <c r="L19" s="25">
        <f ca="1">SUMIF(Jogos!$S$1:$V$149, $D19, Jogos!$V$1:$V$149)+SUMIF(Jogos!$U$1:$W$149, $D19, Jogos!$W$1:$W$149)</f>
        <v>12</v>
      </c>
      <c r="M19" s="25">
        <f t="shared" ca="1" si="12"/>
        <v>-7</v>
      </c>
      <c r="N19" s="25">
        <f t="shared" ca="1" si="13"/>
        <v>19.456923857619042</v>
      </c>
      <c r="O19" s="27">
        <v>12</v>
      </c>
      <c r="P19" s="27">
        <f t="shared" ca="1" si="14"/>
        <v>19.456924047619044</v>
      </c>
      <c r="Q19" s="27">
        <f t="shared" ca="1" si="15"/>
        <v>7</v>
      </c>
    </row>
    <row r="20" spans="1:17" x14ac:dyDescent="0.2">
      <c r="A20" s="25" t="str">
        <f t="shared" ca="1" si="8"/>
        <v>6B</v>
      </c>
      <c r="B20" s="25" t="s">
        <v>24</v>
      </c>
      <c r="C20" s="25">
        <f t="shared" ca="1" si="9"/>
        <v>6</v>
      </c>
      <c r="D20" s="26" t="str">
        <f>VLOOKUP($O20, Equipes!$A$3:$B$42, 2, FALSE)</f>
        <v>DIOGO(CEPE)</v>
      </c>
      <c r="E20" s="33">
        <f t="shared" si="10"/>
        <v>0.38095238095238093</v>
      </c>
      <c r="F20" s="25">
        <f t="shared" si="11"/>
        <v>8</v>
      </c>
      <c r="G20" s="25">
        <f>COUNTIF(Jogos!$M$1:$N$149, $D20)</f>
        <v>7</v>
      </c>
      <c r="H20" s="25">
        <f>COUNTIF(Jogos!$O$1:$O$149, $D20)</f>
        <v>2</v>
      </c>
      <c r="I20" s="25">
        <f>COUNTIF(Jogos!$P$1:$Q$149, $D20)</f>
        <v>2</v>
      </c>
      <c r="J20" s="25">
        <f>COUNTIF(Jogos!$R$1:$R$149, $D20)</f>
        <v>3</v>
      </c>
      <c r="K20" s="25">
        <f ca="1">SUMIF(Jogos!$S$1:$T$149, $D20, Jogos!$T$1:$T$149)+SUMIF(Jogos!$U$1:$V$149, $D20, Jogos!$V$1:$V$149)</f>
        <v>10</v>
      </c>
      <c r="L20" s="25">
        <f ca="1">SUMIF(Jogos!$S$1:$V$149, $D20, Jogos!$V$1:$V$149)+SUMIF(Jogos!$U$1:$W$149, $D20, Jogos!$W$1:$W$149)</f>
        <v>13</v>
      </c>
      <c r="M20" s="25">
        <f t="shared" ca="1" si="12"/>
        <v>-3</v>
      </c>
      <c r="N20" s="25">
        <f t="shared" ca="1" si="13"/>
        <v>38.914947895238086</v>
      </c>
      <c r="O20" s="27">
        <v>13</v>
      </c>
      <c r="P20" s="27">
        <f t="shared" ca="1" si="14"/>
        <v>38.914948095238088</v>
      </c>
      <c r="Q20" s="27">
        <f t="shared" ca="1" si="15"/>
        <v>6</v>
      </c>
    </row>
    <row r="21" spans="1:17" x14ac:dyDescent="0.2">
      <c r="A21" s="25" t="str">
        <f t="shared" ca="1" si="8"/>
        <v>1B</v>
      </c>
      <c r="B21" s="25" t="s">
        <v>24</v>
      </c>
      <c r="C21" s="25">
        <f t="shared" ca="1" si="9"/>
        <v>1</v>
      </c>
      <c r="D21" s="26" t="str">
        <f>VLOOKUP($O21, Equipes!$A$3:$B$42, 2, FALSE)</f>
        <v>VINICIUS ROLIM(SCCP)</v>
      </c>
      <c r="E21" s="33">
        <f t="shared" si="10"/>
        <v>0.80952380952380953</v>
      </c>
      <c r="F21" s="25">
        <f t="shared" si="11"/>
        <v>17</v>
      </c>
      <c r="G21" s="25">
        <f>COUNTIF(Jogos!$M$1:$N$149, $D21)</f>
        <v>7</v>
      </c>
      <c r="H21" s="25">
        <f>COUNTIF(Jogos!$O$1:$O$149, $D21)</f>
        <v>5</v>
      </c>
      <c r="I21" s="25">
        <f>COUNTIF(Jogos!$P$1:$Q$149, $D21)</f>
        <v>2</v>
      </c>
      <c r="J21" s="25">
        <f>COUNTIF(Jogos!$R$1:$R$149, $D21)</f>
        <v>0</v>
      </c>
      <c r="K21" s="25">
        <f ca="1">SUMIF(Jogos!$S$1:$T$149, $D21, Jogos!$T$1:$T$149)+SUMIF(Jogos!$U$1:$V$149, $D21, Jogos!$V$1:$V$149)</f>
        <v>12</v>
      </c>
      <c r="L21" s="25">
        <f ca="1">SUMIF(Jogos!$S$1:$V$149, $D21, Jogos!$V$1:$V$149)+SUMIF(Jogos!$U$1:$W$149, $D21, Jogos!$W$1:$W$149)</f>
        <v>6</v>
      </c>
      <c r="M21" s="25">
        <f t="shared" ca="1" si="12"/>
        <v>6</v>
      </c>
      <c r="N21" s="25">
        <f t="shared" ca="1" si="13"/>
        <v>82.702992742380957</v>
      </c>
      <c r="O21" s="27">
        <v>14</v>
      </c>
      <c r="P21" s="27">
        <f t="shared" ca="1" si="14"/>
        <v>82.702992952380953</v>
      </c>
      <c r="Q21" s="27">
        <f t="shared" ca="1" si="15"/>
        <v>1</v>
      </c>
    </row>
    <row r="22" spans="1:17" x14ac:dyDescent="0.2">
      <c r="A22" s="25" t="str">
        <f t="shared" ca="1" si="8"/>
        <v>5B</v>
      </c>
      <c r="B22" s="25" t="s">
        <v>24</v>
      </c>
      <c r="C22" s="25">
        <f t="shared" ca="1" si="9"/>
        <v>5</v>
      </c>
      <c r="D22" s="26" t="str">
        <f>VLOOKUP($O22, Equipes!$A$3:$B$42, 2, FALSE)</f>
        <v>AUGUSTO(BF)</v>
      </c>
      <c r="E22" s="33">
        <f t="shared" si="10"/>
        <v>0.38095238095238093</v>
      </c>
      <c r="F22" s="25">
        <f t="shared" si="11"/>
        <v>8</v>
      </c>
      <c r="G22" s="25">
        <f>COUNTIF(Jogos!$M$1:$N$149, $D22)</f>
        <v>7</v>
      </c>
      <c r="H22" s="25">
        <f>COUNTIF(Jogos!$O$1:$O$149, $D22)</f>
        <v>2</v>
      </c>
      <c r="I22" s="25">
        <f>COUNTIF(Jogos!$P$1:$Q$149, $D22)</f>
        <v>2</v>
      </c>
      <c r="J22" s="25">
        <f>COUNTIF(Jogos!$R$1:$R$149, $D22)</f>
        <v>3</v>
      </c>
      <c r="K22" s="25">
        <f ca="1">SUMIF(Jogos!$S$1:$T$149, $D22, Jogos!$T$1:$T$149)+SUMIF(Jogos!$U$1:$V$149, $D22, Jogos!$V$1:$V$149)</f>
        <v>9</v>
      </c>
      <c r="L22" s="25">
        <f ca="1">SUMIF(Jogos!$S$1:$V$149, $D22, Jogos!$V$1:$V$149)+SUMIF(Jogos!$U$1:$W$149, $D22, Jogos!$W$1:$W$149)</f>
        <v>10</v>
      </c>
      <c r="M22" s="25">
        <f t="shared" ca="1" si="12"/>
        <v>-1</v>
      </c>
      <c r="N22" s="25">
        <f t="shared" ca="1" si="13"/>
        <v>38.915146875238094</v>
      </c>
      <c r="O22" s="27">
        <v>15</v>
      </c>
      <c r="P22" s="27">
        <f t="shared" ca="1" si="14"/>
        <v>38.91514709523809</v>
      </c>
      <c r="Q22" s="27">
        <f t="shared" ca="1" si="15"/>
        <v>5</v>
      </c>
    </row>
    <row r="23" spans="1:17" x14ac:dyDescent="0.2">
      <c r="A23" s="25" t="str">
        <f t="shared" ca="1" si="8"/>
        <v>3B</v>
      </c>
      <c r="B23" s="25" t="s">
        <v>24</v>
      </c>
      <c r="C23" s="25">
        <f t="shared" ca="1" si="9"/>
        <v>3</v>
      </c>
      <c r="D23" s="26" t="str">
        <f>VLOOKUP($O23, Equipes!$A$3:$B$42, 2, FALSE)</f>
        <v>LUIZ COELHO(MZ)</v>
      </c>
      <c r="E23" s="33">
        <f t="shared" si="10"/>
        <v>0.47619047619047616</v>
      </c>
      <c r="F23" s="25">
        <f t="shared" si="11"/>
        <v>10</v>
      </c>
      <c r="G23" s="25">
        <f>COUNTIF(Jogos!$M$1:$N$149, $D23)</f>
        <v>7</v>
      </c>
      <c r="H23" s="25">
        <f>COUNTIF(Jogos!$O$1:$O$149, $D23)</f>
        <v>2</v>
      </c>
      <c r="I23" s="25">
        <f>COUNTIF(Jogos!$P$1:$Q$149, $D23)</f>
        <v>4</v>
      </c>
      <c r="J23" s="25">
        <f>COUNTIF(Jogos!$R$1:$R$149, $D23)</f>
        <v>1</v>
      </c>
      <c r="K23" s="25">
        <f ca="1">SUMIF(Jogos!$S$1:$T$149, $D23, Jogos!$T$1:$T$149)+SUMIF(Jogos!$U$1:$V$149, $D23, Jogos!$V$1:$V$149)</f>
        <v>6</v>
      </c>
      <c r="L23" s="25">
        <f ca="1">SUMIF(Jogos!$S$1:$V$149, $D23, Jogos!$V$1:$V$149)+SUMIF(Jogos!$U$1:$W$149, $D23, Jogos!$W$1:$W$149)</f>
        <v>6</v>
      </c>
      <c r="M23" s="25">
        <f t="shared" ca="1" si="12"/>
        <v>0</v>
      </c>
      <c r="N23" s="25">
        <f t="shared" ca="1" si="13"/>
        <v>48.639053389047625</v>
      </c>
      <c r="O23" s="27">
        <v>16</v>
      </c>
      <c r="P23" s="27">
        <f t="shared" ca="1" si="14"/>
        <v>48.639053619047623</v>
      </c>
      <c r="Q23" s="27">
        <f t="shared" ca="1" si="15"/>
        <v>3</v>
      </c>
    </row>
    <row r="25" spans="1:17" ht="23.25" x14ac:dyDescent="0.35">
      <c r="A25" s="25" t="s">
        <v>33</v>
      </c>
      <c r="B25" s="25" t="s">
        <v>25</v>
      </c>
      <c r="C25" s="29" t="s">
        <v>25</v>
      </c>
      <c r="D25" s="30" t="s">
        <v>34</v>
      </c>
      <c r="E25" s="32" t="s">
        <v>35</v>
      </c>
      <c r="F25" s="32" t="s">
        <v>36</v>
      </c>
      <c r="G25" s="32" t="s">
        <v>14</v>
      </c>
      <c r="H25" s="32" t="s">
        <v>15</v>
      </c>
      <c r="I25" s="32" t="s">
        <v>16</v>
      </c>
      <c r="J25" s="32" t="s">
        <v>17</v>
      </c>
      <c r="K25" s="32" t="s">
        <v>37</v>
      </c>
      <c r="L25" s="32" t="s">
        <v>38</v>
      </c>
      <c r="M25" s="32" t="s">
        <v>39</v>
      </c>
      <c r="N25" s="31" t="s">
        <v>40</v>
      </c>
    </row>
    <row r="26" spans="1:17" x14ac:dyDescent="0.2">
      <c r="A26" s="25" t="str">
        <f t="shared" ref="A26:A33" ca="1" si="16">CONCATENATE(C26,B26)</f>
        <v>7C</v>
      </c>
      <c r="B26" s="25" t="s">
        <v>25</v>
      </c>
      <c r="C26" s="25">
        <f t="shared" ref="C26:C33" ca="1" si="17">IF(SUM($G$26:$G$33)=0,0,_xlfn.RANK.EQ(N26,$N$26:$N$33))</f>
        <v>7</v>
      </c>
      <c r="D26" s="26" t="str">
        <f>VLOOKUP($O26, Equipes!$A$3:$B$42, 2, FALSE)</f>
        <v>AFONSO(CEPE)</v>
      </c>
      <c r="E26" s="33">
        <f t="shared" ref="E26:E33" si="18">IF(G26=0,0,(F26)/(G26*3))</f>
        <v>0.33333333333333331</v>
      </c>
      <c r="F26" s="25">
        <f t="shared" ref="F26:F33" si="19">(H26*3)+(I26*1)</f>
        <v>7</v>
      </c>
      <c r="G26" s="25">
        <f>COUNTIF(Jogos!$M$1:$N$149, $D26)</f>
        <v>7</v>
      </c>
      <c r="H26" s="25">
        <f>COUNTIF(Jogos!$O$1:$O$149, $D26)</f>
        <v>2</v>
      </c>
      <c r="I26" s="25">
        <f>COUNTIF(Jogos!$P$1:$Q$149, $D26)</f>
        <v>1</v>
      </c>
      <c r="J26" s="25">
        <f>COUNTIF(Jogos!$R$1:$R$149, $D26)</f>
        <v>4</v>
      </c>
      <c r="K26" s="25">
        <f ca="1">SUMIF(Jogos!$S$1:$T$149, $D26, Jogos!$T$1:$T$149)+SUMIF(Jogos!$U$1:$V$149, $D26, Jogos!$V$1:$V$149)</f>
        <v>6</v>
      </c>
      <c r="L26" s="25">
        <f ca="1">SUMIF(Jogos!$S$1:$V$149, $D26, Jogos!$V$1:$V$149)+SUMIF(Jogos!$U$1:$W$149, $D26, Jogos!$W$1:$W$149)</f>
        <v>14</v>
      </c>
      <c r="M26" s="25">
        <f t="shared" ref="M26:M33" ca="1" si="20">K26-L26</f>
        <v>-8</v>
      </c>
      <c r="N26" s="25">
        <f t="shared" ref="N26:N33" ca="1" si="21">(E26*E$3+F26*F$3+H26*H$3+M26*M$3+K26*K$3)/(E$3/100)-ROW(N26)/E$3</f>
        <v>34.052539073333328</v>
      </c>
      <c r="O26" s="27">
        <v>17</v>
      </c>
      <c r="P26" s="27">
        <f t="shared" ref="P26:P33" ca="1" si="22">(E26*E$3+F26*F$3+H26*H$3+M26*M$3+K26*K$3)/(E$3/100)</f>
        <v>34.052539333333328</v>
      </c>
      <c r="Q26" s="27">
        <f t="shared" ref="Q26:Q33" ca="1" si="23">IF(SUM($G$26:$G$33)=0,0,_xlfn.RANK.EQ(P26,$P$26:$P$33))</f>
        <v>7</v>
      </c>
    </row>
    <row r="27" spans="1:17" x14ac:dyDescent="0.2">
      <c r="A27" s="25" t="str">
        <f t="shared" ca="1" si="16"/>
        <v>8C</v>
      </c>
      <c r="B27" s="25" t="s">
        <v>25</v>
      </c>
      <c r="C27" s="25">
        <f t="shared" ca="1" si="17"/>
        <v>8</v>
      </c>
      <c r="D27" s="26" t="str">
        <f>VLOOKUP($O27, Equipes!$A$3:$B$42, 2, FALSE)</f>
        <v>MARIELCINHO(LTVL)</v>
      </c>
      <c r="E27" s="33">
        <f t="shared" si="18"/>
        <v>9.5238095238095233E-2</v>
      </c>
      <c r="F27" s="25">
        <f t="shared" si="19"/>
        <v>2</v>
      </c>
      <c r="G27" s="25">
        <f>COUNTIF(Jogos!$M$1:$N$149, $D27)</f>
        <v>7</v>
      </c>
      <c r="H27" s="25">
        <f>COUNTIF(Jogos!$O$1:$O$149, $D27)</f>
        <v>0</v>
      </c>
      <c r="I27" s="25">
        <f>COUNTIF(Jogos!$P$1:$Q$149, $D27)</f>
        <v>2</v>
      </c>
      <c r="J27" s="25">
        <f>COUNTIF(Jogos!$R$1:$R$149, $D27)</f>
        <v>5</v>
      </c>
      <c r="K27" s="25">
        <f ca="1">SUMIF(Jogos!$S$1:$T$149, $D27, Jogos!$T$1:$T$149)+SUMIF(Jogos!$U$1:$V$149, $D27, Jogos!$V$1:$V$149)</f>
        <v>4</v>
      </c>
      <c r="L27" s="25">
        <f ca="1">SUMIF(Jogos!$S$1:$V$149, $D27, Jogos!$V$1:$V$149)+SUMIF(Jogos!$U$1:$W$149, $D27, Jogos!$W$1:$W$149)</f>
        <v>13</v>
      </c>
      <c r="M27" s="25">
        <f t="shared" ca="1" si="20"/>
        <v>-9</v>
      </c>
      <c r="N27" s="25">
        <f t="shared" ca="1" si="21"/>
        <v>9.7229132538095229</v>
      </c>
      <c r="O27" s="27">
        <v>18</v>
      </c>
      <c r="P27" s="27">
        <f t="shared" ca="1" si="22"/>
        <v>9.7229135238095221</v>
      </c>
      <c r="Q27" s="27">
        <f t="shared" ca="1" si="23"/>
        <v>8</v>
      </c>
    </row>
    <row r="28" spans="1:17" x14ac:dyDescent="0.2">
      <c r="A28" s="25" t="str">
        <f t="shared" ca="1" si="16"/>
        <v>2C</v>
      </c>
      <c r="B28" s="25" t="s">
        <v>25</v>
      </c>
      <c r="C28" s="25">
        <f t="shared" ca="1" si="17"/>
        <v>2</v>
      </c>
      <c r="D28" s="26" t="str">
        <f>VLOOKUP($O28, Equipes!$A$3:$B$42, 2, FALSE)</f>
        <v>WAGNER(SPFC)</v>
      </c>
      <c r="E28" s="33">
        <f t="shared" si="18"/>
        <v>0.66666666666666663</v>
      </c>
      <c r="F28" s="25">
        <f t="shared" si="19"/>
        <v>14</v>
      </c>
      <c r="G28" s="25">
        <f>COUNTIF(Jogos!$M$1:$N$149, $D28)</f>
        <v>7</v>
      </c>
      <c r="H28" s="25">
        <f>COUNTIF(Jogos!$O$1:$O$149, $D28)</f>
        <v>4</v>
      </c>
      <c r="I28" s="25">
        <f>COUNTIF(Jogos!$P$1:$Q$149, $D28)</f>
        <v>2</v>
      </c>
      <c r="J28" s="25">
        <f>COUNTIF(Jogos!$R$1:$R$149, $D28)</f>
        <v>1</v>
      </c>
      <c r="K28" s="25">
        <f ca="1">SUMIF(Jogos!$S$1:$T$149, $D28, Jogos!$T$1:$T$149)+SUMIF(Jogos!$U$1:$V$149, $D28, Jogos!$V$1:$V$149)</f>
        <v>14</v>
      </c>
      <c r="L28" s="25">
        <f ca="1">SUMIF(Jogos!$S$1:$V$149, $D28, Jogos!$V$1:$V$149)+SUMIF(Jogos!$U$1:$W$149, $D28, Jogos!$W$1:$W$149)</f>
        <v>9</v>
      </c>
      <c r="M28" s="25">
        <f t="shared" ca="1" si="20"/>
        <v>5</v>
      </c>
      <c r="N28" s="25">
        <f t="shared" ca="1" si="21"/>
        <v>68.107180386666656</v>
      </c>
      <c r="O28" s="27">
        <v>19</v>
      </c>
      <c r="P28" s="27">
        <f t="shared" ca="1" si="22"/>
        <v>68.10718066666665</v>
      </c>
      <c r="Q28" s="27">
        <f t="shared" ca="1" si="23"/>
        <v>2</v>
      </c>
    </row>
    <row r="29" spans="1:17" x14ac:dyDescent="0.2">
      <c r="A29" s="25" t="str">
        <f t="shared" ca="1" si="16"/>
        <v>1C</v>
      </c>
      <c r="B29" s="25" t="s">
        <v>25</v>
      </c>
      <c r="C29" s="25">
        <f t="shared" ca="1" si="17"/>
        <v>1</v>
      </c>
      <c r="D29" s="26" t="str">
        <f>VLOOKUP($O29, Equipes!$A$3:$B$42, 2, FALSE)</f>
        <v>MARCOS MATTOS(BF)</v>
      </c>
      <c r="E29" s="33">
        <f t="shared" si="18"/>
        <v>0.8571428571428571</v>
      </c>
      <c r="F29" s="25">
        <f t="shared" si="19"/>
        <v>18</v>
      </c>
      <c r="G29" s="25">
        <f>COUNTIF(Jogos!$M$1:$N$149, $D29)</f>
        <v>7</v>
      </c>
      <c r="H29" s="25">
        <f>COUNTIF(Jogos!$O$1:$O$149, $D29)</f>
        <v>6</v>
      </c>
      <c r="I29" s="25">
        <f>COUNTIF(Jogos!$P$1:$Q$149, $D29)</f>
        <v>0</v>
      </c>
      <c r="J29" s="25">
        <f>COUNTIF(Jogos!$R$1:$R$149, $D29)</f>
        <v>1</v>
      </c>
      <c r="K29" s="25">
        <f ca="1">SUMIF(Jogos!$S$1:$T$149, $D29, Jogos!$T$1:$T$149)+SUMIF(Jogos!$U$1:$V$149, $D29, Jogos!$V$1:$V$149)</f>
        <v>17</v>
      </c>
      <c r="L29" s="25">
        <f ca="1">SUMIF(Jogos!$S$1:$V$149, $D29, Jogos!$V$1:$V$149)+SUMIF(Jogos!$U$1:$W$149, $D29, Jogos!$W$1:$W$149)</f>
        <v>4</v>
      </c>
      <c r="M29" s="25">
        <f t="shared" ca="1" si="20"/>
        <v>13</v>
      </c>
      <c r="N29" s="25">
        <f t="shared" ca="1" si="21"/>
        <v>87.575602424285719</v>
      </c>
      <c r="O29" s="27">
        <v>20</v>
      </c>
      <c r="P29" s="27">
        <f t="shared" ca="1" si="22"/>
        <v>87.575602714285722</v>
      </c>
      <c r="Q29" s="27">
        <f t="shared" ca="1" si="23"/>
        <v>1</v>
      </c>
    </row>
    <row r="30" spans="1:17" x14ac:dyDescent="0.2">
      <c r="A30" s="25" t="str">
        <f t="shared" ca="1" si="16"/>
        <v>4C</v>
      </c>
      <c r="B30" s="25" t="s">
        <v>25</v>
      </c>
      <c r="C30" s="25">
        <f t="shared" ca="1" si="17"/>
        <v>4</v>
      </c>
      <c r="D30" s="26" t="str">
        <f>VLOOKUP($O30, Equipes!$A$3:$B$42, 2, FALSE)</f>
        <v>FÉLIX(CEPE)</v>
      </c>
      <c r="E30" s="33">
        <f t="shared" si="18"/>
        <v>0.47619047619047616</v>
      </c>
      <c r="F30" s="25">
        <f t="shared" si="19"/>
        <v>10</v>
      </c>
      <c r="G30" s="25">
        <f>COUNTIF(Jogos!$M$1:$N$149, $D30)</f>
        <v>7</v>
      </c>
      <c r="H30" s="25">
        <f>COUNTIF(Jogos!$O$1:$O$149, $D30)</f>
        <v>3</v>
      </c>
      <c r="I30" s="25">
        <f>COUNTIF(Jogos!$P$1:$Q$149, $D30)</f>
        <v>1</v>
      </c>
      <c r="J30" s="25">
        <f>COUNTIF(Jogos!$R$1:$R$149, $D30)</f>
        <v>3</v>
      </c>
      <c r="K30" s="25">
        <f ca="1">SUMIF(Jogos!$S$1:$T$149, $D30, Jogos!$T$1:$T$149)+SUMIF(Jogos!$U$1:$V$149, $D30, Jogos!$V$1:$V$149)</f>
        <v>12</v>
      </c>
      <c r="L30" s="25">
        <f ca="1">SUMIF(Jogos!$S$1:$V$149, $D30, Jogos!$V$1:$V$149)+SUMIF(Jogos!$U$1:$W$149, $D30, Jogos!$W$1:$W$149)</f>
        <v>12</v>
      </c>
      <c r="M30" s="25">
        <f t="shared" ca="1" si="20"/>
        <v>0</v>
      </c>
      <c r="N30" s="25">
        <f t="shared" ca="1" si="21"/>
        <v>48.649059319047616</v>
      </c>
      <c r="O30" s="27">
        <v>21</v>
      </c>
      <c r="P30" s="27">
        <f t="shared" ca="1" si="22"/>
        <v>48.64905961904762</v>
      </c>
      <c r="Q30" s="27">
        <f t="shared" ca="1" si="23"/>
        <v>4</v>
      </c>
    </row>
    <row r="31" spans="1:17" x14ac:dyDescent="0.2">
      <c r="A31" s="25" t="str">
        <f t="shared" ca="1" si="16"/>
        <v>5C</v>
      </c>
      <c r="B31" s="25" t="s">
        <v>25</v>
      </c>
      <c r="C31" s="25">
        <f t="shared" ca="1" si="17"/>
        <v>5</v>
      </c>
      <c r="D31" s="26" t="str">
        <f>VLOOKUP($O31, Equipes!$A$3:$B$42, 2, FALSE)</f>
        <v>ELCIO(LTVL)</v>
      </c>
      <c r="E31" s="33">
        <f t="shared" si="18"/>
        <v>0.38095238095238093</v>
      </c>
      <c r="F31" s="25">
        <f t="shared" si="19"/>
        <v>8</v>
      </c>
      <c r="G31" s="25">
        <f>COUNTIF(Jogos!$M$1:$N$149, $D31)</f>
        <v>7</v>
      </c>
      <c r="H31" s="25">
        <f>COUNTIF(Jogos!$O$1:$O$149, $D31)</f>
        <v>2</v>
      </c>
      <c r="I31" s="25">
        <f>COUNTIF(Jogos!$P$1:$Q$149, $D31)</f>
        <v>2</v>
      </c>
      <c r="J31" s="25">
        <f>COUNTIF(Jogos!$R$1:$R$149, $D31)</f>
        <v>3</v>
      </c>
      <c r="K31" s="25">
        <f ca="1">SUMIF(Jogos!$S$1:$T$149, $D31, Jogos!$T$1:$T$149)+SUMIF(Jogos!$U$1:$V$149, $D31, Jogos!$V$1:$V$149)</f>
        <v>6</v>
      </c>
      <c r="L31" s="25">
        <f ca="1">SUMIF(Jogos!$S$1:$V$149, $D31, Jogos!$V$1:$V$149)+SUMIF(Jogos!$U$1:$W$149, $D31, Jogos!$W$1:$W$149)</f>
        <v>7</v>
      </c>
      <c r="M31" s="25">
        <f t="shared" ca="1" si="20"/>
        <v>-1</v>
      </c>
      <c r="N31" s="25">
        <f t="shared" ca="1" si="21"/>
        <v>38.915143785238094</v>
      </c>
      <c r="O31" s="27">
        <v>22</v>
      </c>
      <c r="P31" s="27">
        <f t="shared" ca="1" si="22"/>
        <v>38.915144095238091</v>
      </c>
      <c r="Q31" s="27">
        <f t="shared" ca="1" si="23"/>
        <v>5</v>
      </c>
    </row>
    <row r="32" spans="1:17" x14ac:dyDescent="0.2">
      <c r="A32" s="25" t="str">
        <f t="shared" ca="1" si="16"/>
        <v>6C</v>
      </c>
      <c r="B32" s="25" t="s">
        <v>25</v>
      </c>
      <c r="C32" s="25">
        <f t="shared" ca="1" si="17"/>
        <v>6</v>
      </c>
      <c r="D32" s="26" t="str">
        <f>VLOOKUP($O32, Equipes!$A$3:$B$42, 2, FALSE)</f>
        <v>SÉRGIO BARREIRA(SCCP)</v>
      </c>
      <c r="E32" s="33">
        <f t="shared" si="18"/>
        <v>0.33333333333333331</v>
      </c>
      <c r="F32" s="25">
        <f t="shared" si="19"/>
        <v>7</v>
      </c>
      <c r="G32" s="25">
        <f>COUNTIF(Jogos!$M$1:$N$149, $D32)</f>
        <v>7</v>
      </c>
      <c r="H32" s="25">
        <f>COUNTIF(Jogos!$O$1:$O$149, $D32)</f>
        <v>2</v>
      </c>
      <c r="I32" s="25">
        <f>COUNTIF(Jogos!$P$1:$Q$149, $D32)</f>
        <v>1</v>
      </c>
      <c r="J32" s="25">
        <f>COUNTIF(Jogos!$R$1:$R$149, $D32)</f>
        <v>4</v>
      </c>
      <c r="K32" s="25">
        <f ca="1">SUMIF(Jogos!$S$1:$T$149, $D32, Jogos!$T$1:$T$149)+SUMIF(Jogos!$U$1:$V$149, $D32, Jogos!$V$1:$V$149)</f>
        <v>6</v>
      </c>
      <c r="L32" s="25">
        <f ca="1">SUMIF(Jogos!$S$1:$V$149, $D32, Jogos!$V$1:$V$149)+SUMIF(Jogos!$U$1:$W$149, $D32, Jogos!$W$1:$W$149)</f>
        <v>9</v>
      </c>
      <c r="M32" s="25">
        <f t="shared" ca="1" si="20"/>
        <v>-3</v>
      </c>
      <c r="N32" s="25">
        <f t="shared" ca="1" si="21"/>
        <v>34.053039013333333</v>
      </c>
      <c r="O32" s="27">
        <v>23</v>
      </c>
      <c r="P32" s="27">
        <f t="shared" ca="1" si="22"/>
        <v>34.053039333333331</v>
      </c>
      <c r="Q32" s="27">
        <f t="shared" ca="1" si="23"/>
        <v>6</v>
      </c>
    </row>
    <row r="33" spans="1:17" x14ac:dyDescent="0.2">
      <c r="A33" s="25" t="str">
        <f t="shared" ca="1" si="16"/>
        <v>3C</v>
      </c>
      <c r="B33" s="25" t="s">
        <v>25</v>
      </c>
      <c r="C33" s="25">
        <f t="shared" ca="1" si="17"/>
        <v>3</v>
      </c>
      <c r="D33" s="26" t="str">
        <f>VLOOKUP($O33, Equipes!$A$3:$B$42, 2, FALSE)</f>
        <v>MARIO MILI(MZ)</v>
      </c>
      <c r="E33" s="33">
        <f t="shared" si="18"/>
        <v>0.61904761904761907</v>
      </c>
      <c r="F33" s="25">
        <f t="shared" si="19"/>
        <v>13</v>
      </c>
      <c r="G33" s="25">
        <f>COUNTIF(Jogos!$M$1:$N$149, $D33)</f>
        <v>7</v>
      </c>
      <c r="H33" s="25">
        <f>COUNTIF(Jogos!$O$1:$O$149, $D33)</f>
        <v>4</v>
      </c>
      <c r="I33" s="25">
        <f>COUNTIF(Jogos!$P$1:$Q$149, $D33)</f>
        <v>1</v>
      </c>
      <c r="J33" s="25">
        <f>COUNTIF(Jogos!$R$1:$R$149, $D33)</f>
        <v>2</v>
      </c>
      <c r="K33" s="25">
        <f ca="1">SUMIF(Jogos!$S$1:$T$149, $D33, Jogos!$T$1:$T$149)+SUMIF(Jogos!$U$1:$V$149, $D33, Jogos!$V$1:$V$149)</f>
        <v>9</v>
      </c>
      <c r="L33" s="25">
        <f ca="1">SUMIF(Jogos!$S$1:$V$149, $D33, Jogos!$V$1:$V$149)+SUMIF(Jogos!$U$1:$W$149, $D33, Jogos!$W$1:$W$149)</f>
        <v>6</v>
      </c>
      <c r="M33" s="25">
        <f t="shared" ca="1" si="20"/>
        <v>3</v>
      </c>
      <c r="N33" s="25">
        <f t="shared" ca="1" si="21"/>
        <v>63.245070574761911</v>
      </c>
      <c r="O33" s="27">
        <v>24</v>
      </c>
      <c r="P33" s="27">
        <f t="shared" ca="1" si="22"/>
        <v>63.24507090476191</v>
      </c>
      <c r="Q33" s="27">
        <f t="shared" ca="1" si="23"/>
        <v>3</v>
      </c>
    </row>
    <row r="35" spans="1:17" ht="23.25" x14ac:dyDescent="0.35">
      <c r="A35" s="25" t="s">
        <v>33</v>
      </c>
      <c r="B35" s="25" t="s">
        <v>17</v>
      </c>
      <c r="C35" s="29" t="s">
        <v>17</v>
      </c>
      <c r="D35" s="30" t="s">
        <v>34</v>
      </c>
      <c r="E35" s="32" t="s">
        <v>35</v>
      </c>
      <c r="F35" s="32" t="s">
        <v>36</v>
      </c>
      <c r="G35" s="32" t="s">
        <v>14</v>
      </c>
      <c r="H35" s="32" t="s">
        <v>15</v>
      </c>
      <c r="I35" s="32" t="s">
        <v>16</v>
      </c>
      <c r="J35" s="32" t="s">
        <v>17</v>
      </c>
      <c r="K35" s="32" t="s">
        <v>37</v>
      </c>
      <c r="L35" s="32" t="s">
        <v>38</v>
      </c>
      <c r="M35" s="32" t="s">
        <v>39</v>
      </c>
      <c r="N35" s="31" t="s">
        <v>40</v>
      </c>
    </row>
    <row r="36" spans="1:17" x14ac:dyDescent="0.2">
      <c r="A36" s="25" t="str">
        <f t="shared" ref="A36:A43" ca="1" si="24">CONCATENATE(C36,B36)</f>
        <v>4D</v>
      </c>
      <c r="B36" s="25" t="s">
        <v>17</v>
      </c>
      <c r="C36" s="25">
        <f t="shared" ref="C36:C43" ca="1" si="25">IF(SUM($G$36:$G$43)=0,0,_xlfn.RANK.EQ(N36,$N$36:$N$43))</f>
        <v>4</v>
      </c>
      <c r="D36" s="26" t="str">
        <f>VLOOKUP($O36, Equipes!$A$3:$B$42, 2, FALSE)</f>
        <v>MARCÃO SILVA(SPFC)</v>
      </c>
      <c r="E36" s="33">
        <f t="shared" ref="E36:E43" si="26">IF(G36=0,0,(F36)/(G36*3))</f>
        <v>0.38095238095238093</v>
      </c>
      <c r="F36" s="25">
        <f t="shared" ref="F36:F43" si="27">(H36*3)+(I36*1)</f>
        <v>8</v>
      </c>
      <c r="G36" s="25">
        <f>COUNTIF(Jogos!$M$1:$N$149, $D36)</f>
        <v>7</v>
      </c>
      <c r="H36" s="25">
        <f>COUNTIF(Jogos!$O$1:$O$149, $D36)</f>
        <v>2</v>
      </c>
      <c r="I36" s="25">
        <f>COUNTIF(Jogos!$P$1:$Q$149, $D36)</f>
        <v>2</v>
      </c>
      <c r="J36" s="25">
        <f>COUNTIF(Jogos!$R$1:$R$149, $D36)</f>
        <v>3</v>
      </c>
      <c r="K36" s="25">
        <f ca="1">SUMIF(Jogos!$S$1:$T$149, $D36, Jogos!$T$1:$T$149)+SUMIF(Jogos!$U$1:$V$149, $D36, Jogos!$V$1:$V$149)</f>
        <v>14</v>
      </c>
      <c r="L36" s="25">
        <f ca="1">SUMIF(Jogos!$S$1:$V$149, $D36, Jogos!$V$1:$V$149)+SUMIF(Jogos!$U$1:$W$149, $D36, Jogos!$W$1:$W$149)</f>
        <v>15</v>
      </c>
      <c r="M36" s="25">
        <f t="shared" ref="M36:M43" ca="1" si="28">K36-L36</f>
        <v>-1</v>
      </c>
      <c r="N36" s="25">
        <f t="shared" ref="N36:N43" ca="1" si="29">(E36*E$3+F36*F$3+H36*H$3+M36*M$3+K36*K$3)/(E$3/100)-ROW(N36)/E$3</f>
        <v>38.915151735238091</v>
      </c>
      <c r="O36" s="27">
        <v>25</v>
      </c>
      <c r="P36" s="27">
        <f t="shared" ref="P36:P43" ca="1" si="30">(E36*E$3+F36*F$3+H36*H$3+M36*M$3+K36*K$3)/(E$3/100)</f>
        <v>38.915152095238092</v>
      </c>
      <c r="Q36" s="27">
        <f t="shared" ref="Q36:Q43" ca="1" si="31">IF(SUM($G$36:$G$43)=0,0,_xlfn.RANK.EQ(P36,$P$36:$P$43))</f>
        <v>4</v>
      </c>
    </row>
    <row r="37" spans="1:17" x14ac:dyDescent="0.2">
      <c r="A37" s="25" t="str">
        <f t="shared" ca="1" si="24"/>
        <v>3D</v>
      </c>
      <c r="B37" s="25" t="s">
        <v>17</v>
      </c>
      <c r="C37" s="25">
        <f t="shared" ca="1" si="25"/>
        <v>3</v>
      </c>
      <c r="D37" s="26" t="str">
        <f>VLOOKUP($O37, Equipes!$A$3:$B$42, 2, FALSE)</f>
        <v>RAFAEL BALIEIRO(LTVL)</v>
      </c>
      <c r="E37" s="33">
        <f t="shared" si="26"/>
        <v>0.52380952380952384</v>
      </c>
      <c r="F37" s="25">
        <f t="shared" si="27"/>
        <v>11</v>
      </c>
      <c r="G37" s="25">
        <f>COUNTIF(Jogos!$M$1:$N$149, $D37)</f>
        <v>7</v>
      </c>
      <c r="H37" s="25">
        <f>COUNTIF(Jogos!$O$1:$O$149, $D37)</f>
        <v>3</v>
      </c>
      <c r="I37" s="25">
        <f>COUNTIF(Jogos!$P$1:$Q$149, $D37)</f>
        <v>2</v>
      </c>
      <c r="J37" s="25">
        <f>COUNTIF(Jogos!$R$1:$R$149, $D37)</f>
        <v>2</v>
      </c>
      <c r="K37" s="25">
        <f ca="1">SUMIF(Jogos!$S$1:$T$149, $D37, Jogos!$T$1:$T$149)+SUMIF(Jogos!$U$1:$V$149, $D37, Jogos!$V$1:$V$149)</f>
        <v>12</v>
      </c>
      <c r="L37" s="25">
        <f ca="1">SUMIF(Jogos!$S$1:$V$149, $D37, Jogos!$V$1:$V$149)+SUMIF(Jogos!$U$1:$W$149, $D37, Jogos!$W$1:$W$149)</f>
        <v>12</v>
      </c>
      <c r="M37" s="25">
        <f t="shared" ca="1" si="28"/>
        <v>0</v>
      </c>
      <c r="N37" s="25">
        <f t="shared" ca="1" si="29"/>
        <v>53.510964010952378</v>
      </c>
      <c r="O37" s="27">
        <v>26</v>
      </c>
      <c r="P37" s="27">
        <f t="shared" ca="1" si="30"/>
        <v>53.51096438095238</v>
      </c>
      <c r="Q37" s="27">
        <f t="shared" ca="1" si="31"/>
        <v>3</v>
      </c>
    </row>
    <row r="38" spans="1:17" x14ac:dyDescent="0.2">
      <c r="A38" s="25" t="str">
        <f t="shared" ca="1" si="24"/>
        <v>8D</v>
      </c>
      <c r="B38" s="25" t="s">
        <v>17</v>
      </c>
      <c r="C38" s="25">
        <f t="shared" ca="1" si="25"/>
        <v>8</v>
      </c>
      <c r="D38" s="26" t="str">
        <f>VLOOKUP($O38, Equipes!$A$3:$B$42, 2, FALSE)</f>
        <v>DJ IURY(BF)</v>
      </c>
      <c r="E38" s="33">
        <f t="shared" si="26"/>
        <v>0.19047619047619047</v>
      </c>
      <c r="F38" s="25">
        <f t="shared" si="27"/>
        <v>4</v>
      </c>
      <c r="G38" s="25">
        <f>COUNTIF(Jogos!$M$1:$N$149, $D38)</f>
        <v>7</v>
      </c>
      <c r="H38" s="25">
        <f>COUNTIF(Jogos!$O$1:$O$149, $D38)</f>
        <v>1</v>
      </c>
      <c r="I38" s="25">
        <f>COUNTIF(Jogos!$P$1:$Q$149, $D38)</f>
        <v>1</v>
      </c>
      <c r="J38" s="25">
        <f>COUNTIF(Jogos!$R$1:$R$149, $D38)</f>
        <v>5</v>
      </c>
      <c r="K38" s="25">
        <f ca="1">SUMIF(Jogos!$S$1:$T$149, $D38, Jogos!$T$1:$T$149)+SUMIF(Jogos!$U$1:$V$149, $D38, Jogos!$V$1:$V$149)</f>
        <v>8</v>
      </c>
      <c r="L38" s="25">
        <f ca="1">SUMIF(Jogos!$S$1:$V$149, $D38, Jogos!$V$1:$V$149)+SUMIF(Jogos!$U$1:$W$149, $D38, Jogos!$W$1:$W$149)</f>
        <v>13</v>
      </c>
      <c r="M38" s="25">
        <f t="shared" ca="1" si="28"/>
        <v>-5</v>
      </c>
      <c r="N38" s="25">
        <f t="shared" ca="1" si="29"/>
        <v>19.457126667619047</v>
      </c>
      <c r="O38" s="27">
        <v>27</v>
      </c>
      <c r="P38" s="27">
        <f t="shared" ca="1" si="30"/>
        <v>19.457127047619046</v>
      </c>
      <c r="Q38" s="27">
        <f t="shared" ca="1" si="31"/>
        <v>8</v>
      </c>
    </row>
    <row r="39" spans="1:17" x14ac:dyDescent="0.2">
      <c r="A39" s="25" t="str">
        <f t="shared" ca="1" si="24"/>
        <v>7D</v>
      </c>
      <c r="B39" s="25" t="s">
        <v>17</v>
      </c>
      <c r="C39" s="25">
        <f t="shared" ca="1" si="25"/>
        <v>7</v>
      </c>
      <c r="D39" s="26" t="str">
        <f>VLOOKUP($O39, Equipes!$A$3:$B$42, 2, FALSE)</f>
        <v>CHARLEAUX(CEPE)</v>
      </c>
      <c r="E39" s="33">
        <f t="shared" si="26"/>
        <v>0.23809523809523808</v>
      </c>
      <c r="F39" s="25">
        <f t="shared" si="27"/>
        <v>5</v>
      </c>
      <c r="G39" s="25">
        <f>COUNTIF(Jogos!$M$1:$N$149, $D39)</f>
        <v>7</v>
      </c>
      <c r="H39" s="25">
        <f>COUNTIF(Jogos!$O$1:$O$149, $D39)</f>
        <v>1</v>
      </c>
      <c r="I39" s="25">
        <f>COUNTIF(Jogos!$P$1:$Q$149, $D39)</f>
        <v>2</v>
      </c>
      <c r="J39" s="25">
        <f>COUNTIF(Jogos!$R$1:$R$149, $D39)</f>
        <v>4</v>
      </c>
      <c r="K39" s="25">
        <f ca="1">SUMIF(Jogos!$S$1:$T$149, $D39, Jogos!$T$1:$T$149)+SUMIF(Jogos!$U$1:$V$149, $D39, Jogos!$V$1:$V$149)</f>
        <v>8</v>
      </c>
      <c r="L39" s="25">
        <f ca="1">SUMIF(Jogos!$S$1:$V$149, $D39, Jogos!$V$1:$V$149)+SUMIF(Jogos!$U$1:$W$149, $D39, Jogos!$W$1:$W$149)</f>
        <v>14</v>
      </c>
      <c r="M39" s="25">
        <f t="shared" ca="1" si="28"/>
        <v>-6</v>
      </c>
      <c r="N39" s="25">
        <f t="shared" ca="1" si="29"/>
        <v>24.31893141952381</v>
      </c>
      <c r="O39" s="27">
        <v>28</v>
      </c>
      <c r="P39" s="27">
        <f t="shared" ca="1" si="30"/>
        <v>24.318931809523811</v>
      </c>
      <c r="Q39" s="27">
        <f t="shared" ca="1" si="31"/>
        <v>7</v>
      </c>
    </row>
    <row r="40" spans="1:17" x14ac:dyDescent="0.2">
      <c r="A40" s="25" t="str">
        <f t="shared" ca="1" si="24"/>
        <v>1D</v>
      </c>
      <c r="B40" s="25" t="s">
        <v>17</v>
      </c>
      <c r="C40" s="25">
        <f t="shared" ca="1" si="25"/>
        <v>1</v>
      </c>
      <c r="D40" s="26" t="str">
        <f>VLOOKUP($O40, Equipes!$A$3:$B$42, 2, FALSE)</f>
        <v>PABLO MARTINS(SPFC)</v>
      </c>
      <c r="E40" s="33">
        <f t="shared" si="26"/>
        <v>0.90476190476190477</v>
      </c>
      <c r="F40" s="25">
        <f t="shared" si="27"/>
        <v>19</v>
      </c>
      <c r="G40" s="25">
        <f>COUNTIF(Jogos!$M$1:$N$149, $D40)</f>
        <v>7</v>
      </c>
      <c r="H40" s="25">
        <f>COUNTIF(Jogos!$O$1:$O$149, $D40)</f>
        <v>6</v>
      </c>
      <c r="I40" s="25">
        <f>COUNTIF(Jogos!$P$1:$Q$149, $D40)</f>
        <v>1</v>
      </c>
      <c r="J40" s="25">
        <f>COUNTIF(Jogos!$R$1:$R$149, $D40)</f>
        <v>0</v>
      </c>
      <c r="K40" s="25">
        <f ca="1">SUMIF(Jogos!$S$1:$T$149, $D40, Jogos!$T$1:$T$149)+SUMIF(Jogos!$U$1:$V$149, $D40, Jogos!$V$1:$V$149)</f>
        <v>26</v>
      </c>
      <c r="L40" s="25">
        <f ca="1">SUMIF(Jogos!$S$1:$V$149, $D40, Jogos!$V$1:$V$149)+SUMIF(Jogos!$U$1:$W$149, $D40, Jogos!$W$1:$W$149)</f>
        <v>10</v>
      </c>
      <c r="M40" s="25">
        <f t="shared" ca="1" si="28"/>
        <v>16</v>
      </c>
      <c r="N40" s="25">
        <f t="shared" ca="1" si="29"/>
        <v>92.437816076190472</v>
      </c>
      <c r="O40" s="27">
        <v>29</v>
      </c>
      <c r="P40" s="27">
        <f t="shared" ca="1" si="30"/>
        <v>92.437816476190477</v>
      </c>
      <c r="Q40" s="27">
        <f t="shared" ca="1" si="31"/>
        <v>1</v>
      </c>
    </row>
    <row r="41" spans="1:17" x14ac:dyDescent="0.2">
      <c r="A41" s="25" t="str">
        <f t="shared" ca="1" si="24"/>
        <v>5D</v>
      </c>
      <c r="B41" s="25" t="s">
        <v>17</v>
      </c>
      <c r="C41" s="25">
        <f t="shared" ca="1" si="25"/>
        <v>5</v>
      </c>
      <c r="D41" s="26" t="str">
        <f>VLOOKUP($O41, Equipes!$A$3:$B$42, 2, FALSE)</f>
        <v>GUANABARA(LTVL)</v>
      </c>
      <c r="E41" s="33">
        <f t="shared" si="26"/>
        <v>0.33333333333333331</v>
      </c>
      <c r="F41" s="25">
        <f t="shared" si="27"/>
        <v>7</v>
      </c>
      <c r="G41" s="25">
        <f>COUNTIF(Jogos!$M$1:$N$149, $D41)</f>
        <v>7</v>
      </c>
      <c r="H41" s="25">
        <f>COUNTIF(Jogos!$O$1:$O$149, $D41)</f>
        <v>2</v>
      </c>
      <c r="I41" s="25">
        <f>COUNTIF(Jogos!$P$1:$Q$149, $D41)</f>
        <v>1</v>
      </c>
      <c r="J41" s="25">
        <f>COUNTIF(Jogos!$R$1:$R$149, $D41)</f>
        <v>4</v>
      </c>
      <c r="K41" s="25">
        <f ca="1">SUMIF(Jogos!$S$1:$T$149, $D41, Jogos!$T$1:$T$149)+SUMIF(Jogos!$U$1:$V$149, $D41, Jogos!$V$1:$V$149)</f>
        <v>10</v>
      </c>
      <c r="L41" s="25">
        <f ca="1">SUMIF(Jogos!$S$1:$V$149, $D41, Jogos!$V$1:$V$149)+SUMIF(Jogos!$U$1:$W$149, $D41, Jogos!$W$1:$W$149)</f>
        <v>20</v>
      </c>
      <c r="M41" s="25">
        <f t="shared" ca="1" si="28"/>
        <v>-10</v>
      </c>
      <c r="N41" s="25">
        <f t="shared" ca="1" si="29"/>
        <v>34.052342923333327</v>
      </c>
      <c r="O41" s="27">
        <v>30</v>
      </c>
      <c r="P41" s="27">
        <f t="shared" ca="1" si="30"/>
        <v>34.052343333333326</v>
      </c>
      <c r="Q41" s="27">
        <f t="shared" ca="1" si="31"/>
        <v>5</v>
      </c>
    </row>
    <row r="42" spans="1:17" x14ac:dyDescent="0.2">
      <c r="A42" s="25" t="str">
        <f t="shared" ca="1" si="24"/>
        <v>2D</v>
      </c>
      <c r="B42" s="25" t="s">
        <v>17</v>
      </c>
      <c r="C42" s="25">
        <f t="shared" ca="1" si="25"/>
        <v>2</v>
      </c>
      <c r="D42" s="26" t="str">
        <f>VLOOKUP($O42, Equipes!$A$3:$B$42, 2, FALSE)</f>
        <v>GALDEANO(SCCP)</v>
      </c>
      <c r="E42" s="33">
        <f t="shared" si="26"/>
        <v>0.8571428571428571</v>
      </c>
      <c r="F42" s="25">
        <f t="shared" si="27"/>
        <v>18</v>
      </c>
      <c r="G42" s="25">
        <f>COUNTIF(Jogos!$M$1:$N$149, $D42)</f>
        <v>7</v>
      </c>
      <c r="H42" s="25">
        <f>COUNTIF(Jogos!$O$1:$O$149, $D42)</f>
        <v>6</v>
      </c>
      <c r="I42" s="25">
        <f>COUNTIF(Jogos!$P$1:$Q$149, $D42)</f>
        <v>0</v>
      </c>
      <c r="J42" s="25">
        <f>COUNTIF(Jogos!$R$1:$R$149, $D42)</f>
        <v>1</v>
      </c>
      <c r="K42" s="25">
        <f ca="1">SUMIF(Jogos!$S$1:$T$149, $D42, Jogos!$T$1:$T$149)+SUMIF(Jogos!$U$1:$V$149, $D42, Jogos!$V$1:$V$149)</f>
        <v>22</v>
      </c>
      <c r="L42" s="25">
        <f ca="1">SUMIF(Jogos!$S$1:$V$149, $D42, Jogos!$V$1:$V$149)+SUMIF(Jogos!$U$1:$W$149, $D42, Jogos!$W$1:$W$149)</f>
        <v>10</v>
      </c>
      <c r="M42" s="25">
        <f t="shared" ca="1" si="28"/>
        <v>12</v>
      </c>
      <c r="N42" s="25">
        <f t="shared" ca="1" si="29"/>
        <v>87.575507294285714</v>
      </c>
      <c r="O42" s="27">
        <v>31</v>
      </c>
      <c r="P42" s="27">
        <f t="shared" ca="1" si="30"/>
        <v>87.57550771428572</v>
      </c>
      <c r="Q42" s="27">
        <f t="shared" ca="1" si="31"/>
        <v>2</v>
      </c>
    </row>
    <row r="43" spans="1:17" x14ac:dyDescent="0.2">
      <c r="A43" s="25" t="str">
        <f t="shared" ca="1" si="24"/>
        <v>6D</v>
      </c>
      <c r="B43" s="25" t="s">
        <v>17</v>
      </c>
      <c r="C43" s="25">
        <f t="shared" ca="1" si="25"/>
        <v>6</v>
      </c>
      <c r="D43" s="26" t="str">
        <f>VLOOKUP($O43, Equipes!$A$3:$B$42, 2, FALSE)</f>
        <v>BERGAMINI(MZ)</v>
      </c>
      <c r="E43" s="33">
        <f t="shared" si="26"/>
        <v>0.2857142857142857</v>
      </c>
      <c r="F43" s="25">
        <f t="shared" si="27"/>
        <v>6</v>
      </c>
      <c r="G43" s="25">
        <f>COUNTIF(Jogos!$M$1:$N$149, $D43)</f>
        <v>7</v>
      </c>
      <c r="H43" s="25">
        <f>COUNTIF(Jogos!$O$1:$O$149, $D43)</f>
        <v>1</v>
      </c>
      <c r="I43" s="25">
        <f>COUNTIF(Jogos!$P$1:$Q$149, $D43)</f>
        <v>3</v>
      </c>
      <c r="J43" s="25">
        <f>COUNTIF(Jogos!$R$1:$R$149, $D43)</f>
        <v>3</v>
      </c>
      <c r="K43" s="25">
        <f ca="1">SUMIF(Jogos!$S$1:$T$149, $D43, Jogos!$T$1:$T$149)+SUMIF(Jogos!$U$1:$V$149, $D43, Jogos!$V$1:$V$149)</f>
        <v>11</v>
      </c>
      <c r="L43" s="25">
        <f ca="1">SUMIF(Jogos!$S$1:$V$149, $D43, Jogos!$V$1:$V$149)+SUMIF(Jogos!$U$1:$W$149, $D43, Jogos!$W$1:$W$149)</f>
        <v>17</v>
      </c>
      <c r="M43" s="25">
        <f t="shared" ca="1" si="28"/>
        <v>-6</v>
      </c>
      <c r="N43" s="25">
        <f t="shared" ca="1" si="29"/>
        <v>29.180839141428571</v>
      </c>
      <c r="O43" s="27">
        <v>32</v>
      </c>
      <c r="P43" s="27">
        <f t="shared" ca="1" si="30"/>
        <v>29.180839571428571</v>
      </c>
      <c r="Q43" s="27">
        <f t="shared" ca="1" si="31"/>
        <v>6</v>
      </c>
    </row>
    <row r="45" spans="1:17" ht="23.25" x14ac:dyDescent="0.35">
      <c r="A45" s="25" t="s">
        <v>33</v>
      </c>
      <c r="B45" s="25" t="s">
        <v>16</v>
      </c>
      <c r="C45" s="29" t="s">
        <v>16</v>
      </c>
      <c r="D45" s="30" t="s">
        <v>34</v>
      </c>
      <c r="E45" s="32" t="s">
        <v>35</v>
      </c>
      <c r="F45" s="32" t="s">
        <v>36</v>
      </c>
      <c r="G45" s="32" t="s">
        <v>14</v>
      </c>
      <c r="H45" s="32" t="s">
        <v>15</v>
      </c>
      <c r="I45" s="32" t="s">
        <v>16</v>
      </c>
      <c r="J45" s="32" t="s">
        <v>17</v>
      </c>
      <c r="K45" s="32" t="s">
        <v>37</v>
      </c>
      <c r="L45" s="32" t="s">
        <v>38</v>
      </c>
      <c r="M45" s="32" t="s">
        <v>39</v>
      </c>
      <c r="N45" s="31" t="s">
        <v>40</v>
      </c>
    </row>
    <row r="46" spans="1:17" x14ac:dyDescent="0.2">
      <c r="A46" s="25" t="str">
        <f t="shared" ref="A46:A53" ca="1" si="32">CONCATENATE(C46,B46)</f>
        <v>7E</v>
      </c>
      <c r="B46" s="25" t="s">
        <v>16</v>
      </c>
      <c r="C46" s="25">
        <f t="shared" ref="C46:C53" ca="1" si="33">IF(SUM($G$46:$G$53)=0,0,_xlfn.RANK.EQ(N46,$N$46:$N$53))</f>
        <v>7</v>
      </c>
      <c r="D46" s="26" t="str">
        <f>VLOOKUP($O46, Equipes!$A$3:$B$42, 2, FALSE)</f>
        <v>LÉO CARIOCA(MZ)</v>
      </c>
      <c r="E46" s="33">
        <f t="shared" ref="E46:E53" si="34">IF(G46=0,0,(F46)/(G46*3))</f>
        <v>0.38095238095238093</v>
      </c>
      <c r="F46" s="25">
        <f t="shared" ref="F46:F53" si="35">(H46*3)+(I46*1)</f>
        <v>8</v>
      </c>
      <c r="G46" s="25">
        <f>COUNTIF(Jogos!$M$1:$N$149, $D46)</f>
        <v>7</v>
      </c>
      <c r="H46" s="25">
        <f>COUNTIF(Jogos!$O$1:$O$149, $D46)</f>
        <v>2</v>
      </c>
      <c r="I46" s="25">
        <f>COUNTIF(Jogos!$P$1:$Q$149, $D46)</f>
        <v>2</v>
      </c>
      <c r="J46" s="25">
        <f>COUNTIF(Jogos!$R$1:$R$149, $D46)</f>
        <v>3</v>
      </c>
      <c r="K46" s="25">
        <f ca="1">SUMIF(Jogos!$S$1:$T$149, $D46, Jogos!$T$1:$T$149)+SUMIF(Jogos!$U$1:$V$149, $D46, Jogos!$V$1:$V$149)</f>
        <v>10</v>
      </c>
      <c r="L46" s="25">
        <f ca="1">SUMIF(Jogos!$S$1:$V$149, $D46, Jogos!$V$1:$V$149)+SUMIF(Jogos!$U$1:$W$149, $D46, Jogos!$W$1:$W$149)</f>
        <v>12</v>
      </c>
      <c r="M46" s="25">
        <f t="shared" ref="M46:M53" ca="1" si="36">K46-L46</f>
        <v>-2</v>
      </c>
      <c r="N46" s="25">
        <f t="shared" ref="N46:N53" ca="1" si="37">(E46*E$3+F46*F$3+H46*H$3+M46*M$3+K46*K$3)/(E$3/100)-ROW(N46)/E$3</f>
        <v>38.915047635238089</v>
      </c>
      <c r="O46" s="27">
        <v>33</v>
      </c>
      <c r="P46" s="27">
        <f t="shared" ref="P46:P53" ca="1" si="38">(E46*E$3+F46*F$3+H46*H$3+M46*M$3+K46*K$3)/(E$3/100)</f>
        <v>38.915048095238092</v>
      </c>
      <c r="Q46" s="27">
        <f t="shared" ref="Q46:Q53" ca="1" si="39">IF(SUM($G$46:$G$53)=0,0,_xlfn.RANK.EQ(P46,$P$46:$P$53))</f>
        <v>7</v>
      </c>
    </row>
    <row r="47" spans="1:17" x14ac:dyDescent="0.2">
      <c r="A47" s="25" t="str">
        <f t="shared" ca="1" si="32"/>
        <v>4E</v>
      </c>
      <c r="B47" s="25" t="s">
        <v>16</v>
      </c>
      <c r="C47" s="25">
        <f t="shared" ca="1" si="33"/>
        <v>4</v>
      </c>
      <c r="D47" s="26" t="str">
        <f>VLOOKUP($O47, Equipes!$A$3:$B$42, 2, FALSE)</f>
        <v>ZÉ LUIZ(SPFC)</v>
      </c>
      <c r="E47" s="33">
        <f t="shared" si="34"/>
        <v>0.42857142857142855</v>
      </c>
      <c r="F47" s="25">
        <f t="shared" si="35"/>
        <v>9</v>
      </c>
      <c r="G47" s="25">
        <f>COUNTIF(Jogos!$M$1:$N$149, $D47)</f>
        <v>7</v>
      </c>
      <c r="H47" s="25">
        <f>COUNTIF(Jogos!$O$1:$O$149, $D47)</f>
        <v>2</v>
      </c>
      <c r="I47" s="25">
        <f>COUNTIF(Jogos!$P$1:$Q$149, $D47)</f>
        <v>3</v>
      </c>
      <c r="J47" s="25">
        <f>COUNTIF(Jogos!$R$1:$R$149, $D47)</f>
        <v>2</v>
      </c>
      <c r="K47" s="25">
        <f ca="1">SUMIF(Jogos!$S$1:$T$149, $D47, Jogos!$T$1:$T$149)+SUMIF(Jogos!$U$1:$V$149, $D47, Jogos!$V$1:$V$149)</f>
        <v>11</v>
      </c>
      <c r="L47" s="25">
        <f ca="1">SUMIF(Jogos!$S$1:$V$149, $D47, Jogos!$V$1:$V$149)+SUMIF(Jogos!$U$1:$W$149, $D47, Jogos!$W$1:$W$149)</f>
        <v>10</v>
      </c>
      <c r="M47" s="25">
        <f t="shared" ca="1" si="36"/>
        <v>1</v>
      </c>
      <c r="N47" s="25">
        <f t="shared" ca="1" si="37"/>
        <v>43.777253387142856</v>
      </c>
      <c r="O47" s="27">
        <v>34</v>
      </c>
      <c r="P47" s="27">
        <f t="shared" ca="1" si="38"/>
        <v>43.77725385714286</v>
      </c>
      <c r="Q47" s="27">
        <f t="shared" ca="1" si="39"/>
        <v>4</v>
      </c>
    </row>
    <row r="48" spans="1:17" x14ac:dyDescent="0.2">
      <c r="A48" s="25" t="str">
        <f t="shared" ca="1" si="32"/>
        <v>5E</v>
      </c>
      <c r="B48" s="25" t="s">
        <v>16</v>
      </c>
      <c r="C48" s="25">
        <f t="shared" ca="1" si="33"/>
        <v>5</v>
      </c>
      <c r="D48" s="26" t="str">
        <f>VLOOKUP($O48, Equipes!$A$3:$B$42, 2, FALSE)</f>
        <v>TUPINAMBÁ(LTVL)</v>
      </c>
      <c r="E48" s="33">
        <f t="shared" si="34"/>
        <v>0.42857142857142855</v>
      </c>
      <c r="F48" s="25">
        <f t="shared" si="35"/>
        <v>9</v>
      </c>
      <c r="G48" s="25">
        <f>COUNTIF(Jogos!$M$1:$N$149, $D48)</f>
        <v>7</v>
      </c>
      <c r="H48" s="25">
        <f>COUNTIF(Jogos!$O$1:$O$149, $D48)</f>
        <v>2</v>
      </c>
      <c r="I48" s="25">
        <f>COUNTIF(Jogos!$P$1:$Q$149, $D48)</f>
        <v>3</v>
      </c>
      <c r="J48" s="25">
        <f>COUNTIF(Jogos!$R$1:$R$149, $D48)</f>
        <v>2</v>
      </c>
      <c r="K48" s="25">
        <f ca="1">SUMIF(Jogos!$S$1:$T$149, $D48, Jogos!$T$1:$T$149)+SUMIF(Jogos!$U$1:$V$149, $D48, Jogos!$V$1:$V$149)</f>
        <v>11</v>
      </c>
      <c r="L48" s="25">
        <f ca="1">SUMIF(Jogos!$S$1:$V$149, $D48, Jogos!$V$1:$V$149)+SUMIF(Jogos!$U$1:$W$149, $D48, Jogos!$W$1:$W$149)</f>
        <v>11</v>
      </c>
      <c r="M48" s="25">
        <f t="shared" ca="1" si="36"/>
        <v>0</v>
      </c>
      <c r="N48" s="25">
        <f t="shared" ca="1" si="37"/>
        <v>43.777153377142859</v>
      </c>
      <c r="O48" s="27">
        <v>35</v>
      </c>
      <c r="P48" s="27">
        <f t="shared" ca="1" si="38"/>
        <v>43.777153857142856</v>
      </c>
      <c r="Q48" s="27">
        <f t="shared" ca="1" si="39"/>
        <v>5</v>
      </c>
    </row>
    <row r="49" spans="1:17" x14ac:dyDescent="0.2">
      <c r="A49" s="25" t="str">
        <f t="shared" ca="1" si="32"/>
        <v>8E</v>
      </c>
      <c r="B49" s="25" t="s">
        <v>16</v>
      </c>
      <c r="C49" s="25">
        <f t="shared" ca="1" si="33"/>
        <v>8</v>
      </c>
      <c r="D49" s="26" t="str">
        <f>VLOOKUP($O49, Equipes!$A$3:$B$42, 2, FALSE)</f>
        <v>RICARDO RAMALHO(BF)</v>
      </c>
      <c r="E49" s="33">
        <f t="shared" si="34"/>
        <v>0.23809523809523808</v>
      </c>
      <c r="F49" s="25">
        <f t="shared" si="35"/>
        <v>5</v>
      </c>
      <c r="G49" s="25">
        <f>COUNTIF(Jogos!$M$1:$N$149, $D49)</f>
        <v>7</v>
      </c>
      <c r="H49" s="25">
        <f>COUNTIF(Jogos!$O$1:$O$149, $D49)</f>
        <v>1</v>
      </c>
      <c r="I49" s="25">
        <f>COUNTIF(Jogos!$P$1:$Q$149, $D49)</f>
        <v>2</v>
      </c>
      <c r="J49" s="25">
        <f>COUNTIF(Jogos!$R$1:$R$149, $D49)</f>
        <v>4</v>
      </c>
      <c r="K49" s="25">
        <f ca="1">SUMIF(Jogos!$S$1:$T$149, $D49, Jogos!$T$1:$T$149)+SUMIF(Jogos!$U$1:$V$149, $D49, Jogos!$V$1:$V$149)</f>
        <v>4</v>
      </c>
      <c r="L49" s="25">
        <f ca="1">SUMIF(Jogos!$S$1:$V$149, $D49, Jogos!$V$1:$V$149)+SUMIF(Jogos!$U$1:$W$149, $D49, Jogos!$W$1:$W$149)</f>
        <v>6</v>
      </c>
      <c r="M49" s="25">
        <f t="shared" ca="1" si="36"/>
        <v>-2</v>
      </c>
      <c r="N49" s="25">
        <f t="shared" ca="1" si="37"/>
        <v>24.319327319523808</v>
      </c>
      <c r="O49" s="27">
        <v>36</v>
      </c>
      <c r="P49" s="27">
        <f t="shared" ca="1" si="38"/>
        <v>24.319327809523809</v>
      </c>
      <c r="Q49" s="27">
        <f t="shared" ca="1" si="39"/>
        <v>8</v>
      </c>
    </row>
    <row r="50" spans="1:17" x14ac:dyDescent="0.2">
      <c r="A50" s="25" t="str">
        <f t="shared" ca="1" si="32"/>
        <v>6E</v>
      </c>
      <c r="B50" s="25" t="s">
        <v>16</v>
      </c>
      <c r="C50" s="25">
        <f t="shared" ca="1" si="33"/>
        <v>6</v>
      </c>
      <c r="D50" s="26" t="str">
        <f>VLOOKUP($O50, Equipes!$A$3:$B$42, 2, FALSE)</f>
        <v>BRAGHETTO(MZ)</v>
      </c>
      <c r="E50" s="33">
        <f t="shared" si="34"/>
        <v>0.38095238095238093</v>
      </c>
      <c r="F50" s="25">
        <f t="shared" si="35"/>
        <v>8</v>
      </c>
      <c r="G50" s="25">
        <f>COUNTIF(Jogos!$M$1:$N$149, $D50)</f>
        <v>7</v>
      </c>
      <c r="H50" s="25">
        <f>COUNTIF(Jogos!$O$1:$O$149, $D50)</f>
        <v>2</v>
      </c>
      <c r="I50" s="25">
        <f>COUNTIF(Jogos!$P$1:$Q$149, $D50)</f>
        <v>2</v>
      </c>
      <c r="J50" s="25">
        <f>COUNTIF(Jogos!$R$1:$R$149, $D50)</f>
        <v>3</v>
      </c>
      <c r="K50" s="25">
        <f ca="1">SUMIF(Jogos!$S$1:$T$149, $D50, Jogos!$T$1:$T$149)+SUMIF(Jogos!$U$1:$V$149, $D50, Jogos!$V$1:$V$149)</f>
        <v>11</v>
      </c>
      <c r="L50" s="25">
        <f ca="1">SUMIF(Jogos!$S$1:$V$149, $D50, Jogos!$V$1:$V$149)+SUMIF(Jogos!$U$1:$W$149, $D50, Jogos!$W$1:$W$149)</f>
        <v>11</v>
      </c>
      <c r="M50" s="25">
        <f t="shared" ca="1" si="36"/>
        <v>0</v>
      </c>
      <c r="N50" s="25">
        <f t="shared" ca="1" si="37"/>
        <v>38.91524859523809</v>
      </c>
      <c r="O50" s="27">
        <v>37</v>
      </c>
      <c r="P50" s="27">
        <f t="shared" ca="1" si="38"/>
        <v>38.915249095238089</v>
      </c>
      <c r="Q50" s="27">
        <f t="shared" ca="1" si="39"/>
        <v>6</v>
      </c>
    </row>
    <row r="51" spans="1:17" x14ac:dyDescent="0.2">
      <c r="A51" s="25" t="str">
        <f t="shared" ca="1" si="32"/>
        <v>1E</v>
      </c>
      <c r="B51" s="25" t="s">
        <v>16</v>
      </c>
      <c r="C51" s="25">
        <f t="shared" ca="1" si="33"/>
        <v>1</v>
      </c>
      <c r="D51" s="26" t="str">
        <f>VLOOKUP($O51, Equipes!$A$3:$B$42, 2, FALSE)</f>
        <v>PAULO ROBERTO(SPFC)</v>
      </c>
      <c r="E51" s="33">
        <f t="shared" si="34"/>
        <v>0.7142857142857143</v>
      </c>
      <c r="F51" s="25">
        <f t="shared" si="35"/>
        <v>15</v>
      </c>
      <c r="G51" s="25">
        <f>COUNTIF(Jogos!$M$1:$N$149, $D51)</f>
        <v>7</v>
      </c>
      <c r="H51" s="25">
        <f>COUNTIF(Jogos!$O$1:$O$149, $D51)</f>
        <v>4</v>
      </c>
      <c r="I51" s="25">
        <f>COUNTIF(Jogos!$P$1:$Q$149, $D51)</f>
        <v>3</v>
      </c>
      <c r="J51" s="25">
        <f>COUNTIF(Jogos!$R$1:$R$149, $D51)</f>
        <v>0</v>
      </c>
      <c r="K51" s="25">
        <f ca="1">SUMIF(Jogos!$S$1:$T$149, $D51, Jogos!$T$1:$T$149)+SUMIF(Jogos!$U$1:$V$149, $D51, Jogos!$V$1:$V$149)</f>
        <v>12</v>
      </c>
      <c r="L51" s="25">
        <f ca="1">SUMIF(Jogos!$S$1:$V$149, $D51, Jogos!$V$1:$V$149)+SUMIF(Jogos!$U$1:$W$149, $D51, Jogos!$W$1:$W$149)</f>
        <v>5</v>
      </c>
      <c r="M51" s="25">
        <f t="shared" ca="1" si="36"/>
        <v>7</v>
      </c>
      <c r="N51" s="25">
        <f t="shared" ca="1" si="37"/>
        <v>72.969282918571423</v>
      </c>
      <c r="O51" s="27">
        <v>38</v>
      </c>
      <c r="P51" s="27">
        <f t="shared" ca="1" si="38"/>
        <v>72.96928342857143</v>
      </c>
      <c r="Q51" s="27">
        <f t="shared" ca="1" si="39"/>
        <v>1</v>
      </c>
    </row>
    <row r="52" spans="1:17" x14ac:dyDescent="0.2">
      <c r="A52" s="25" t="str">
        <f t="shared" ca="1" si="32"/>
        <v>2E</v>
      </c>
      <c r="B52" s="25" t="s">
        <v>16</v>
      </c>
      <c r="C52" s="25">
        <f t="shared" ca="1" si="33"/>
        <v>2</v>
      </c>
      <c r="D52" s="26" t="str">
        <f>VLOOKUP($O52, Equipes!$A$3:$B$42, 2, FALSE)</f>
        <v>RODRIGO MORO(SCCP)</v>
      </c>
      <c r="E52" s="33">
        <f t="shared" si="34"/>
        <v>0.52380952380952384</v>
      </c>
      <c r="F52" s="25">
        <f t="shared" si="35"/>
        <v>11</v>
      </c>
      <c r="G52" s="25">
        <f>COUNTIF(Jogos!$M$1:$N$149, $D52)</f>
        <v>7</v>
      </c>
      <c r="H52" s="25">
        <f>COUNTIF(Jogos!$O$1:$O$149, $D52)</f>
        <v>3</v>
      </c>
      <c r="I52" s="25">
        <f>COUNTIF(Jogos!$P$1:$Q$149, $D52)</f>
        <v>2</v>
      </c>
      <c r="J52" s="25">
        <f>COUNTIF(Jogos!$R$1:$R$149, $D52)</f>
        <v>2</v>
      </c>
      <c r="K52" s="25">
        <f ca="1">SUMIF(Jogos!$S$1:$T$149, $D52, Jogos!$T$1:$T$149)+SUMIF(Jogos!$U$1:$V$149, $D52, Jogos!$V$1:$V$149)</f>
        <v>12</v>
      </c>
      <c r="L52" s="25">
        <f ca="1">SUMIF(Jogos!$S$1:$V$149, $D52, Jogos!$V$1:$V$149)+SUMIF(Jogos!$U$1:$W$149, $D52, Jogos!$W$1:$W$149)</f>
        <v>14</v>
      </c>
      <c r="M52" s="25">
        <f t="shared" ca="1" si="36"/>
        <v>-2</v>
      </c>
      <c r="N52" s="25">
        <f t="shared" ca="1" si="37"/>
        <v>53.51076386095238</v>
      </c>
      <c r="O52" s="27">
        <v>39</v>
      </c>
      <c r="P52" s="27">
        <f t="shared" ca="1" si="38"/>
        <v>53.510764380952381</v>
      </c>
      <c r="Q52" s="27">
        <f t="shared" ca="1" si="39"/>
        <v>2</v>
      </c>
    </row>
    <row r="53" spans="1:17" x14ac:dyDescent="0.2">
      <c r="A53" s="25" t="str">
        <f t="shared" ca="1" si="32"/>
        <v>3E</v>
      </c>
      <c r="B53" s="25" t="s">
        <v>16</v>
      </c>
      <c r="C53" s="25">
        <f t="shared" ca="1" si="33"/>
        <v>3</v>
      </c>
      <c r="D53" s="26" t="str">
        <f>VLOOKUP($O53, Equipes!$A$3:$B$42, 2, FALSE)</f>
        <v>PEPE 2004(CEPE)</v>
      </c>
      <c r="E53" s="33">
        <f t="shared" si="34"/>
        <v>0.47619047619047616</v>
      </c>
      <c r="F53" s="25">
        <f t="shared" si="35"/>
        <v>10</v>
      </c>
      <c r="G53" s="25">
        <f>COUNTIF(Jogos!$M$1:$N$149, $D53)</f>
        <v>7</v>
      </c>
      <c r="H53" s="25">
        <f>COUNTIF(Jogos!$O$1:$O$149, $D53)</f>
        <v>3</v>
      </c>
      <c r="I53" s="25">
        <f>COUNTIF(Jogos!$P$1:$Q$149, $D53)</f>
        <v>1</v>
      </c>
      <c r="J53" s="25">
        <f>COUNTIF(Jogos!$R$1:$R$149, $D53)</f>
        <v>3</v>
      </c>
      <c r="K53" s="25">
        <f ca="1">SUMIF(Jogos!$S$1:$T$149, $D53, Jogos!$T$1:$T$149)+SUMIF(Jogos!$U$1:$V$149, $D53, Jogos!$V$1:$V$149)</f>
        <v>10</v>
      </c>
      <c r="L53" s="25">
        <f ca="1">SUMIF(Jogos!$S$1:$V$149, $D53, Jogos!$V$1:$V$149)+SUMIF(Jogos!$U$1:$W$149, $D53, Jogos!$W$1:$W$149)</f>
        <v>12</v>
      </c>
      <c r="M53" s="25">
        <f t="shared" ca="1" si="36"/>
        <v>-2</v>
      </c>
      <c r="N53" s="25">
        <f t="shared" ca="1" si="37"/>
        <v>48.648857089047617</v>
      </c>
      <c r="O53" s="27">
        <v>40</v>
      </c>
      <c r="P53" s="27">
        <f t="shared" ca="1" si="38"/>
        <v>48.648857619047618</v>
      </c>
      <c r="Q53" s="27">
        <f t="shared" ca="1" si="39"/>
        <v>3</v>
      </c>
    </row>
    <row r="55" spans="1:17" ht="23.25" x14ac:dyDescent="0.35">
      <c r="C55" s="29">
        <v>4</v>
      </c>
      <c r="D55" s="30" t="s">
        <v>34</v>
      </c>
    </row>
    <row r="56" spans="1:17" x14ac:dyDescent="0.2">
      <c r="A56" s="25" t="str">
        <f ca="1">CONCATENATE(C56 &amp; "º-4")</f>
        <v>2º-4</v>
      </c>
      <c r="B56" s="25" t="s">
        <v>43</v>
      </c>
      <c r="C56" s="25">
        <f ca="1">_xlfn.RANK.EQ(E56,$E$56:$E$60)</f>
        <v>2</v>
      </c>
      <c r="D56" s="26" t="str">
        <f ca="1">VLOOKUP($B56,$A$5:$P$53,4,FALSE)</f>
        <v>PROFESSOR(LTVL)</v>
      </c>
      <c r="E56" s="25">
        <f ca="1">VLOOKUP($B56,$A$5:$P$53,16,FALSE)</f>
        <v>48.648753619047618</v>
      </c>
    </row>
    <row r="57" spans="1:17" x14ac:dyDescent="0.2">
      <c r="A57" s="25" t="str">
        <f ca="1">CONCATENATE(C57 &amp; "º-4")</f>
        <v>4º-4</v>
      </c>
      <c r="B57" s="25" t="s">
        <v>44</v>
      </c>
      <c r="C57" s="25">
        <f ca="1">_xlfn.RANK.EQ(E57,$E$56:$E$60)</f>
        <v>4</v>
      </c>
      <c r="D57" s="26" t="str">
        <f ca="1">VLOOKUP($B57,$A$5:$P$53,4,FALSE)</f>
        <v>ELSIO(SPFC)</v>
      </c>
      <c r="E57" s="25">
        <f ca="1">VLOOKUP($B57,$A$5:$P$53,16,FALSE)</f>
        <v>38.915249095238089</v>
      </c>
    </row>
    <row r="58" spans="1:17" x14ac:dyDescent="0.2">
      <c r="A58" s="25" t="str">
        <f ca="1">CONCATENATE(C58 &amp; "º-4")</f>
        <v>1º-4</v>
      </c>
      <c r="B58" s="25" t="s">
        <v>45</v>
      </c>
      <c r="C58" s="25">
        <f ca="1">_xlfn.RANK.EQ(E58,$E$56:$E$60)</f>
        <v>1</v>
      </c>
      <c r="D58" s="26" t="str">
        <f ca="1">VLOOKUP($B58,$A$5:$P$53,4,FALSE)</f>
        <v>FÉLIX(CEPE)</v>
      </c>
      <c r="E58" s="25">
        <f ca="1">VLOOKUP($B58,$A$5:$P$53,16,FALSE)</f>
        <v>48.64905961904762</v>
      </c>
    </row>
    <row r="59" spans="1:17" x14ac:dyDescent="0.2">
      <c r="A59" s="25" t="str">
        <f ca="1">CONCATENATE(C59 &amp; "º-4")</f>
        <v>5º-4</v>
      </c>
      <c r="B59" s="25" t="s">
        <v>46</v>
      </c>
      <c r="C59" s="25">
        <f ca="1">_xlfn.RANK.EQ(E59,$E$56:$E$60)</f>
        <v>5</v>
      </c>
      <c r="D59" s="26" t="str">
        <f ca="1">VLOOKUP($B59,$A$5:$P$53,4,FALSE)</f>
        <v>MARCÃO SILVA(SPFC)</v>
      </c>
      <c r="E59" s="25">
        <f ca="1">VLOOKUP($B59,$A$5:$P$53,16,FALSE)</f>
        <v>38.915152095238092</v>
      </c>
    </row>
    <row r="60" spans="1:17" x14ac:dyDescent="0.2">
      <c r="A60" s="25" t="str">
        <f ca="1">CONCATENATE(C60 &amp; "º-4")</f>
        <v>3º-4</v>
      </c>
      <c r="B60" s="25" t="s">
        <v>47</v>
      </c>
      <c r="C60" s="25">
        <f ca="1">_xlfn.RANK.EQ(E60,$E$56:$E$60)</f>
        <v>3</v>
      </c>
      <c r="D60" s="26" t="str">
        <f ca="1">VLOOKUP($B60,$A$5:$P$53,4,FALSE)</f>
        <v>ZÉ LUIZ(SPFC)</v>
      </c>
      <c r="E60" s="25">
        <f ca="1">VLOOKUP($B60,$A$5:$P$53,16,FALSE)</f>
        <v>43.77725385714286</v>
      </c>
    </row>
    <row r="63" spans="1:17" ht="23.25" x14ac:dyDescent="0.35">
      <c r="C63" s="55" t="s">
        <v>48</v>
      </c>
      <c r="D63" s="30" t="s">
        <v>34</v>
      </c>
    </row>
    <row r="64" spans="1:17" x14ac:dyDescent="0.2">
      <c r="B64" s="25" t="s">
        <v>49</v>
      </c>
      <c r="C64" s="25">
        <f t="shared" ref="C64:C79" ca="1" si="40">_xlfn.RANK.EQ(E64,$E$64:$E$79)</f>
        <v>5</v>
      </c>
      <c r="D64" s="26" t="str">
        <f t="shared" ref="D64:D79" ca="1" si="41">VLOOKUP($B64,$A$5:$P$53,4,FALSE)</f>
        <v>MARCOS WILLOW(SCCP)</v>
      </c>
      <c r="E64" s="25">
        <f t="shared" ref="E64:E79" ca="1" si="42">VLOOKUP($B64,$A$5:$P$53,14,FALSE)</f>
        <v>77.84119212047618</v>
      </c>
    </row>
    <row r="65" spans="2:5" x14ac:dyDescent="0.2">
      <c r="B65" s="25" t="s">
        <v>50</v>
      </c>
      <c r="C65" s="25">
        <f t="shared" ca="1" si="40"/>
        <v>4</v>
      </c>
      <c r="D65" s="26" t="str">
        <f t="shared" ca="1" si="41"/>
        <v>VINICIUS ROLIM(SCCP)</v>
      </c>
      <c r="E65" s="25">
        <f t="shared" ca="1" si="42"/>
        <v>82.702992742380957</v>
      </c>
    </row>
    <row r="66" spans="2:5" x14ac:dyDescent="0.2">
      <c r="B66" s="25" t="s">
        <v>51</v>
      </c>
      <c r="C66" s="25">
        <f t="shared" ca="1" si="40"/>
        <v>2</v>
      </c>
      <c r="D66" s="26" t="str">
        <f t="shared" ca="1" si="41"/>
        <v>MARCOS MATTOS(BF)</v>
      </c>
      <c r="E66" s="25">
        <f t="shared" ca="1" si="42"/>
        <v>87.575602424285719</v>
      </c>
    </row>
    <row r="67" spans="2:5" x14ac:dyDescent="0.2">
      <c r="B67" s="25" t="s">
        <v>52</v>
      </c>
      <c r="C67" s="25">
        <f t="shared" ca="1" si="40"/>
        <v>1</v>
      </c>
      <c r="D67" s="26" t="str">
        <f t="shared" ca="1" si="41"/>
        <v>PABLO MARTINS(SPFC)</v>
      </c>
      <c r="E67" s="25">
        <f t="shared" ca="1" si="42"/>
        <v>92.437816076190472</v>
      </c>
    </row>
    <row r="68" spans="2:5" x14ac:dyDescent="0.2">
      <c r="B68" s="25" t="s">
        <v>53</v>
      </c>
      <c r="C68" s="25">
        <f t="shared" ca="1" si="40"/>
        <v>7</v>
      </c>
      <c r="D68" s="26" t="str">
        <f t="shared" ca="1" si="41"/>
        <v>PAULO ROBERTO(SPFC)</v>
      </c>
      <c r="E68" s="25">
        <f t="shared" ca="1" si="42"/>
        <v>72.969282918571423</v>
      </c>
    </row>
    <row r="69" spans="2:5" x14ac:dyDescent="0.2">
      <c r="B69" s="25" t="s">
        <v>54</v>
      </c>
      <c r="C69" s="25">
        <f t="shared" ca="1" si="40"/>
        <v>9</v>
      </c>
      <c r="D69" s="26" t="str">
        <f t="shared" ca="1" si="41"/>
        <v>RUAS(CEPE)</v>
      </c>
      <c r="E69" s="25">
        <f t="shared" ca="1" si="42"/>
        <v>68.107179606666648</v>
      </c>
    </row>
    <row r="70" spans="2:5" x14ac:dyDescent="0.2">
      <c r="B70" s="25" t="s">
        <v>55</v>
      </c>
      <c r="C70" s="25">
        <f t="shared" ca="1" si="40"/>
        <v>6</v>
      </c>
      <c r="D70" s="26" t="str">
        <f t="shared" ca="1" si="41"/>
        <v>TABAJARA(CEPE)</v>
      </c>
      <c r="E70" s="25">
        <f t="shared" ca="1" si="42"/>
        <v>72.969789268571432</v>
      </c>
    </row>
    <row r="71" spans="2:5" x14ac:dyDescent="0.2">
      <c r="B71" s="25" t="s">
        <v>56</v>
      </c>
      <c r="C71" s="25">
        <f t="shared" ca="1" si="40"/>
        <v>8</v>
      </c>
      <c r="D71" s="26" t="str">
        <f t="shared" ca="1" si="41"/>
        <v>WAGNER(SPFC)</v>
      </c>
      <c r="E71" s="25">
        <f t="shared" ca="1" si="42"/>
        <v>68.107180386666656</v>
      </c>
    </row>
    <row r="72" spans="2:5" x14ac:dyDescent="0.2">
      <c r="B72" s="25" t="s">
        <v>57</v>
      </c>
      <c r="C72" s="25">
        <f t="shared" ca="1" si="40"/>
        <v>3</v>
      </c>
      <c r="D72" s="26" t="str">
        <f t="shared" ca="1" si="41"/>
        <v>GALDEANO(SCCP)</v>
      </c>
      <c r="E72" s="25">
        <f t="shared" ca="1" si="42"/>
        <v>87.575507294285714</v>
      </c>
    </row>
    <row r="73" spans="2:5" x14ac:dyDescent="0.2">
      <c r="B73" s="25" t="s">
        <v>58</v>
      </c>
      <c r="C73" s="25">
        <f t="shared" ca="1" si="40"/>
        <v>13</v>
      </c>
      <c r="D73" s="26" t="str">
        <f t="shared" ca="1" si="41"/>
        <v>RODRIGO MORO(SCCP)</v>
      </c>
      <c r="E73" s="25">
        <f t="shared" ca="1" si="42"/>
        <v>53.51076386095238</v>
      </c>
    </row>
    <row r="74" spans="2:5" x14ac:dyDescent="0.2">
      <c r="B74" s="25" t="s">
        <v>59</v>
      </c>
      <c r="C74" s="25">
        <f t="shared" ca="1" si="40"/>
        <v>11</v>
      </c>
      <c r="D74" s="26" t="str">
        <f t="shared" ca="1" si="41"/>
        <v>AURÉLIO(BF)</v>
      </c>
      <c r="E74" s="25">
        <f t="shared" ca="1" si="42"/>
        <v>53.511162260952375</v>
      </c>
    </row>
    <row r="75" spans="2:5" x14ac:dyDescent="0.2">
      <c r="B75" s="25" t="s">
        <v>60</v>
      </c>
      <c r="C75" s="25">
        <f t="shared" ca="1" si="40"/>
        <v>16</v>
      </c>
      <c r="D75" s="26" t="str">
        <f t="shared" ca="1" si="41"/>
        <v>LUIZ COELHO(MZ)</v>
      </c>
      <c r="E75" s="25">
        <f t="shared" ca="1" si="42"/>
        <v>48.639053389047625</v>
      </c>
    </row>
    <row r="76" spans="2:5" x14ac:dyDescent="0.2">
      <c r="B76" s="25" t="s">
        <v>61</v>
      </c>
      <c r="C76" s="25">
        <f t="shared" ca="1" si="40"/>
        <v>10</v>
      </c>
      <c r="D76" s="26" t="str">
        <f t="shared" ca="1" si="41"/>
        <v>MARIO MILI(MZ)</v>
      </c>
      <c r="E76" s="25">
        <f t="shared" ca="1" si="42"/>
        <v>63.245070574761911</v>
      </c>
    </row>
    <row r="77" spans="2:5" x14ac:dyDescent="0.2">
      <c r="B77" s="25" t="s">
        <v>62</v>
      </c>
      <c r="C77" s="25">
        <f t="shared" ca="1" si="40"/>
        <v>12</v>
      </c>
      <c r="D77" s="26" t="str">
        <f t="shared" ca="1" si="41"/>
        <v>RAFAEL BALIEIRO(LTVL)</v>
      </c>
      <c r="E77" s="25">
        <f t="shared" ca="1" si="42"/>
        <v>53.510964010952378</v>
      </c>
    </row>
    <row r="78" spans="2:5" x14ac:dyDescent="0.2">
      <c r="B78" s="25" t="s">
        <v>63</v>
      </c>
      <c r="C78" s="25">
        <f t="shared" ca="1" si="40"/>
        <v>15</v>
      </c>
      <c r="D78" s="26" t="str">
        <f t="shared" ca="1" si="41"/>
        <v>PEPE 2004(CEPE)</v>
      </c>
      <c r="E78" s="25">
        <f t="shared" ca="1" si="42"/>
        <v>48.648857089047617</v>
      </c>
    </row>
    <row r="79" spans="2:5" x14ac:dyDescent="0.2">
      <c r="B79" s="25" t="str">
        <f ca="1">VLOOKUP("1º-4",$A$56:$B$60,2,FALSE)</f>
        <v>4C</v>
      </c>
      <c r="C79" s="25">
        <f t="shared" ca="1" si="40"/>
        <v>14</v>
      </c>
      <c r="D79" s="26" t="str">
        <f t="shared" ca="1" si="41"/>
        <v>FÉLIX(CEPE)</v>
      </c>
      <c r="E79" s="25">
        <f t="shared" ca="1" si="42"/>
        <v>48.649059319047616</v>
      </c>
    </row>
    <row r="82" spans="2:5" ht="23.25" x14ac:dyDescent="0.35">
      <c r="C82" s="56" t="s">
        <v>64</v>
      </c>
      <c r="D82" s="30" t="s">
        <v>34</v>
      </c>
    </row>
    <row r="83" spans="2:5" x14ac:dyDescent="0.2">
      <c r="B83" s="25" t="str">
        <f ca="1">VLOOKUP("2º-4",$A$56:$B$60,2,FALSE)</f>
        <v>4A</v>
      </c>
      <c r="C83" s="25">
        <f t="shared" ref="C83:C106" ca="1" si="43">_xlfn.RANK.EQ(E83,$E$83:$E$106) + 16</f>
        <v>17</v>
      </c>
      <c r="D83" s="26" t="str">
        <f t="shared" ref="D83:D106" ca="1" si="44">VLOOKUP($B83,$A$5:$P$53,4,FALSE)</f>
        <v>PROFESSOR(LTVL)</v>
      </c>
      <c r="E83" s="25">
        <f t="shared" ref="E83:E106" ca="1" si="45">VLOOKUP($B83,$A$5:$P$53,14,FALSE)</f>
        <v>48.648753529047617</v>
      </c>
    </row>
    <row r="84" spans="2:5" x14ac:dyDescent="0.2">
      <c r="B84" s="25" t="str">
        <f ca="1">VLOOKUP("3º-4",$A$56:$B$60,2,FALSE)</f>
        <v>4E</v>
      </c>
      <c r="C84" s="25">
        <f t="shared" ca="1" si="43"/>
        <v>18</v>
      </c>
      <c r="D84" s="26" t="str">
        <f t="shared" ca="1" si="44"/>
        <v>ZÉ LUIZ(SPFC)</v>
      </c>
      <c r="E84" s="25">
        <f t="shared" ca="1" si="45"/>
        <v>43.777253387142856</v>
      </c>
    </row>
    <row r="85" spans="2:5" x14ac:dyDescent="0.2">
      <c r="B85" s="25" t="str">
        <f ca="1">VLOOKUP("4º-4",$A$56:$B$60,2,FALSE)</f>
        <v>4B</v>
      </c>
      <c r="C85" s="25">
        <f t="shared" ca="1" si="43"/>
        <v>20</v>
      </c>
      <c r="D85" s="26" t="str">
        <f t="shared" ca="1" si="44"/>
        <v>ELSIO(SPFC)</v>
      </c>
      <c r="E85" s="25">
        <f t="shared" ca="1" si="45"/>
        <v>38.915248915238088</v>
      </c>
    </row>
    <row r="86" spans="2:5" x14ac:dyDescent="0.2">
      <c r="B86" s="25" t="str">
        <f ca="1">VLOOKUP("5º-4",$A$56:$B$60,2,FALSE)</f>
        <v>4D</v>
      </c>
      <c r="C86" s="25">
        <f t="shared" ca="1" si="43"/>
        <v>22</v>
      </c>
      <c r="D86" s="26" t="str">
        <f t="shared" ca="1" si="44"/>
        <v>MARCÃO SILVA(SPFC)</v>
      </c>
      <c r="E86" s="25">
        <f t="shared" ca="1" si="45"/>
        <v>38.915151735238091</v>
      </c>
    </row>
    <row r="87" spans="2:5" x14ac:dyDescent="0.2">
      <c r="B87" s="25" t="s">
        <v>65</v>
      </c>
      <c r="C87" s="25">
        <f t="shared" ca="1" si="43"/>
        <v>28</v>
      </c>
      <c r="D87" s="26" t="str">
        <f t="shared" ca="1" si="44"/>
        <v>COELHO(SCCP)</v>
      </c>
      <c r="E87" s="25">
        <f t="shared" ca="1" si="45"/>
        <v>34.052744223333328</v>
      </c>
    </row>
    <row r="88" spans="2:5" x14ac:dyDescent="0.2">
      <c r="B88" s="25" t="s">
        <v>66</v>
      </c>
      <c r="C88" s="25">
        <f t="shared" ca="1" si="43"/>
        <v>31</v>
      </c>
      <c r="D88" s="26" t="str">
        <f t="shared" ca="1" si="44"/>
        <v>SALLYS(SPFC)</v>
      </c>
      <c r="E88" s="25">
        <f t="shared" ca="1" si="45"/>
        <v>34.043244253333327</v>
      </c>
    </row>
    <row r="89" spans="2:5" x14ac:dyDescent="0.2">
      <c r="B89" s="25" t="s">
        <v>67</v>
      </c>
      <c r="C89" s="25">
        <f t="shared" ca="1" si="43"/>
        <v>32</v>
      </c>
      <c r="D89" s="26" t="str">
        <f t="shared" ca="1" si="44"/>
        <v>CLÉO JR (CEPE)</v>
      </c>
      <c r="E89" s="25">
        <f t="shared" ca="1" si="45"/>
        <v>29.181438471428571</v>
      </c>
    </row>
    <row r="90" spans="2:5" x14ac:dyDescent="0.2">
      <c r="B90" s="25" t="s">
        <v>68</v>
      </c>
      <c r="C90" s="25">
        <f t="shared" ca="1" si="43"/>
        <v>35</v>
      </c>
      <c r="D90" s="26" t="str">
        <f t="shared" ca="1" si="44"/>
        <v>CORTEZ(MZ)</v>
      </c>
      <c r="E90" s="25">
        <f t="shared" ca="1" si="45"/>
        <v>24.31913167952381</v>
      </c>
    </row>
    <row r="91" spans="2:5" x14ac:dyDescent="0.2">
      <c r="B91" s="25" t="s">
        <v>69</v>
      </c>
      <c r="C91" s="25">
        <f t="shared" ca="1" si="43"/>
        <v>23</v>
      </c>
      <c r="D91" s="26" t="str">
        <f t="shared" ca="1" si="44"/>
        <v>AUGUSTO(BF)</v>
      </c>
      <c r="E91" s="25">
        <f t="shared" ca="1" si="45"/>
        <v>38.915146875238094</v>
      </c>
    </row>
    <row r="92" spans="2:5" x14ac:dyDescent="0.2">
      <c r="B92" s="25" t="s">
        <v>70</v>
      </c>
      <c r="C92" s="25">
        <f t="shared" ca="1" si="43"/>
        <v>26</v>
      </c>
      <c r="D92" s="26" t="str">
        <f t="shared" ca="1" si="44"/>
        <v>DIOGO(CEPE)</v>
      </c>
      <c r="E92" s="25">
        <f t="shared" ca="1" si="45"/>
        <v>38.914947895238086</v>
      </c>
    </row>
    <row r="93" spans="2:5" x14ac:dyDescent="0.2">
      <c r="B93" s="25" t="s">
        <v>71</v>
      </c>
      <c r="C93" s="25">
        <f t="shared" ca="1" si="43"/>
        <v>38</v>
      </c>
      <c r="D93" s="26" t="str">
        <f t="shared" ca="1" si="44"/>
        <v>MARIELCIO(LTVL)</v>
      </c>
      <c r="E93" s="25">
        <f t="shared" ca="1" si="45"/>
        <v>19.456923857619042</v>
      </c>
    </row>
    <row r="94" spans="2:5" x14ac:dyDescent="0.2">
      <c r="B94" s="25" t="s">
        <v>72</v>
      </c>
      <c r="C94" s="25">
        <f t="shared" ca="1" si="43"/>
        <v>39</v>
      </c>
      <c r="D94" s="26" t="str">
        <f t="shared" ca="1" si="44"/>
        <v>REGINALDO(SCCP)</v>
      </c>
      <c r="E94" s="25">
        <f t="shared" ca="1" si="45"/>
        <v>19.446925877619044</v>
      </c>
    </row>
    <row r="95" spans="2:5" x14ac:dyDescent="0.2">
      <c r="B95" s="25" t="s">
        <v>73</v>
      </c>
      <c r="C95" s="25">
        <f t="shared" ca="1" si="43"/>
        <v>24</v>
      </c>
      <c r="D95" s="26" t="str">
        <f t="shared" ca="1" si="44"/>
        <v>ELCIO(LTVL)</v>
      </c>
      <c r="E95" s="25">
        <f t="shared" ca="1" si="45"/>
        <v>38.915143785238094</v>
      </c>
    </row>
    <row r="96" spans="2:5" x14ac:dyDescent="0.2">
      <c r="B96" s="25" t="s">
        <v>74</v>
      </c>
      <c r="C96" s="25">
        <f t="shared" ca="1" si="43"/>
        <v>27</v>
      </c>
      <c r="D96" s="26" t="str">
        <f t="shared" ca="1" si="44"/>
        <v>SÉRGIO BARREIRA(SCCP)</v>
      </c>
      <c r="E96" s="25">
        <f t="shared" ca="1" si="45"/>
        <v>34.053039013333333</v>
      </c>
    </row>
    <row r="97" spans="2:5" x14ac:dyDescent="0.2">
      <c r="B97" s="25" t="s">
        <v>75</v>
      </c>
      <c r="C97" s="25">
        <f t="shared" ca="1" si="43"/>
        <v>29</v>
      </c>
      <c r="D97" s="26" t="str">
        <f t="shared" ca="1" si="44"/>
        <v>AFONSO(CEPE)</v>
      </c>
      <c r="E97" s="25">
        <f t="shared" ca="1" si="45"/>
        <v>34.052539073333328</v>
      </c>
    </row>
    <row r="98" spans="2:5" x14ac:dyDescent="0.2">
      <c r="B98" s="25" t="s">
        <v>76</v>
      </c>
      <c r="C98" s="25">
        <f t="shared" ca="1" si="43"/>
        <v>40</v>
      </c>
      <c r="D98" s="26" t="str">
        <f t="shared" ca="1" si="44"/>
        <v>MARIELCINHO(LTVL)</v>
      </c>
      <c r="E98" s="25">
        <f t="shared" ca="1" si="45"/>
        <v>9.7229132538095229</v>
      </c>
    </row>
    <row r="99" spans="2:5" x14ac:dyDescent="0.2">
      <c r="B99" s="25" t="s">
        <v>77</v>
      </c>
      <c r="C99" s="25">
        <f t="shared" ca="1" si="43"/>
        <v>30</v>
      </c>
      <c r="D99" s="26" t="str">
        <f t="shared" ca="1" si="44"/>
        <v>GUANABARA(LTVL)</v>
      </c>
      <c r="E99" s="25">
        <f t="shared" ca="1" si="45"/>
        <v>34.052342923333327</v>
      </c>
    </row>
    <row r="100" spans="2:5" x14ac:dyDescent="0.2">
      <c r="B100" s="25" t="s">
        <v>78</v>
      </c>
      <c r="C100" s="25">
        <f t="shared" ca="1" si="43"/>
        <v>33</v>
      </c>
      <c r="D100" s="26" t="str">
        <f t="shared" ca="1" si="44"/>
        <v>BERGAMINI(MZ)</v>
      </c>
      <c r="E100" s="25">
        <f t="shared" ca="1" si="45"/>
        <v>29.180839141428571</v>
      </c>
    </row>
    <row r="101" spans="2:5" x14ac:dyDescent="0.2">
      <c r="B101" s="25" t="s">
        <v>79</v>
      </c>
      <c r="C101" s="25">
        <f t="shared" ca="1" si="43"/>
        <v>36</v>
      </c>
      <c r="D101" s="26" t="str">
        <f t="shared" ca="1" si="44"/>
        <v>CHARLEAUX(CEPE)</v>
      </c>
      <c r="E101" s="25">
        <f t="shared" ca="1" si="45"/>
        <v>24.31893141952381</v>
      </c>
    </row>
    <row r="102" spans="2:5" x14ac:dyDescent="0.2">
      <c r="B102" s="25" t="s">
        <v>80</v>
      </c>
      <c r="C102" s="25">
        <f t="shared" ca="1" si="43"/>
        <v>37</v>
      </c>
      <c r="D102" s="26" t="str">
        <f t="shared" ca="1" si="44"/>
        <v>DJ IURY(BF)</v>
      </c>
      <c r="E102" s="25">
        <f t="shared" ca="1" si="45"/>
        <v>19.457126667619047</v>
      </c>
    </row>
    <row r="103" spans="2:5" x14ac:dyDescent="0.2">
      <c r="B103" s="25" t="s">
        <v>81</v>
      </c>
      <c r="C103" s="25">
        <f t="shared" ca="1" si="43"/>
        <v>19</v>
      </c>
      <c r="D103" s="26" t="str">
        <f t="shared" ca="1" si="44"/>
        <v>TUPINAMBÁ(LTVL)</v>
      </c>
      <c r="E103" s="25">
        <f t="shared" ca="1" si="45"/>
        <v>43.777153377142859</v>
      </c>
    </row>
    <row r="104" spans="2:5" x14ac:dyDescent="0.2">
      <c r="B104" s="25" t="s">
        <v>82</v>
      </c>
      <c r="C104" s="25">
        <f t="shared" ca="1" si="43"/>
        <v>21</v>
      </c>
      <c r="D104" s="26" t="str">
        <f t="shared" ca="1" si="44"/>
        <v>BRAGHETTO(MZ)</v>
      </c>
      <c r="E104" s="25">
        <f t="shared" ca="1" si="45"/>
        <v>38.91524859523809</v>
      </c>
    </row>
    <row r="105" spans="2:5" x14ac:dyDescent="0.2">
      <c r="B105" s="25" t="s">
        <v>83</v>
      </c>
      <c r="C105" s="25">
        <f t="shared" ca="1" si="43"/>
        <v>25</v>
      </c>
      <c r="D105" s="26" t="str">
        <f t="shared" ca="1" si="44"/>
        <v>LÉO CARIOCA(MZ)</v>
      </c>
      <c r="E105" s="25">
        <f t="shared" ca="1" si="45"/>
        <v>38.915047635238089</v>
      </c>
    </row>
    <row r="106" spans="2:5" x14ac:dyDescent="0.2">
      <c r="B106" s="25" t="s">
        <v>84</v>
      </c>
      <c r="C106" s="25">
        <f t="shared" ca="1" si="43"/>
        <v>34</v>
      </c>
      <c r="D106" s="26" t="str">
        <f t="shared" ca="1" si="44"/>
        <v>RICARDO RAMALHO(BF)</v>
      </c>
      <c r="E106" s="25">
        <f t="shared" ca="1" si="45"/>
        <v>24.319327319523808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1"/>
  <sheetViews>
    <sheetView showGridLines="0" workbookViewId="0">
      <pane ySplit="1" topLeftCell="A38" activePane="bottomLeft" state="frozen"/>
      <selection pane="bottomLeft" activeCell="E7" sqref="E7"/>
    </sheetView>
  </sheetViews>
  <sheetFormatPr defaultColWidth="10.8515625" defaultRowHeight="17.25" x14ac:dyDescent="0.25"/>
  <cols>
    <col min="1" max="1" width="1.84765625" style="37" customWidth="1"/>
    <col min="2" max="2" width="7.890625" style="54" customWidth="1"/>
    <col min="3" max="3" width="40.81640625" style="39" customWidth="1"/>
    <col min="4" max="12" width="8.875" style="40" customWidth="1"/>
    <col min="13" max="13" width="10.8515625" style="41"/>
    <col min="14" max="16384" width="10.8515625" style="23"/>
  </cols>
  <sheetData>
    <row r="1" spans="1:13" ht="21" x14ac:dyDescent="0.25">
      <c r="B1" s="38" t="s">
        <v>42</v>
      </c>
    </row>
    <row r="2" spans="1:13" x14ac:dyDescent="0.25">
      <c r="B2" s="42" t="s">
        <v>1</v>
      </c>
    </row>
    <row r="3" spans="1:13" x14ac:dyDescent="0.25">
      <c r="B3" s="43" t="s">
        <v>23</v>
      </c>
      <c r="C3" s="44" t="s">
        <v>34</v>
      </c>
      <c r="D3" s="45" t="s">
        <v>35</v>
      </c>
      <c r="E3" s="45" t="s">
        <v>36</v>
      </c>
      <c r="F3" s="45" t="s">
        <v>14</v>
      </c>
      <c r="G3" s="45" t="s">
        <v>15</v>
      </c>
      <c r="H3" s="45" t="s">
        <v>16</v>
      </c>
      <c r="I3" s="45" t="s">
        <v>17</v>
      </c>
      <c r="J3" s="45" t="s">
        <v>37</v>
      </c>
      <c r="K3" s="45" t="s">
        <v>38</v>
      </c>
      <c r="L3" s="45" t="s">
        <v>39</v>
      </c>
    </row>
    <row r="4" spans="1:13" x14ac:dyDescent="0.25">
      <c r="A4" s="37">
        <v>1</v>
      </c>
      <c r="B4" s="46">
        <f ca="1">IFERROR(VLOOKUP($A4,ClassGrupFases!$C$6:$Q$14,15,FALSE),"")</f>
        <v>1</v>
      </c>
      <c r="C4" s="47" t="str">
        <f ca="1">IFERROR(VLOOKUP($A4,ClassGrupFases!$C$6:$Q$14,2,FALSE),"")</f>
        <v>MARCOS WILLOW(SCCP)</v>
      </c>
      <c r="D4" s="48">
        <f ca="1">IFERROR(VLOOKUP($A4,ClassGrupFases!$C$6:$Q$14,3,FALSE),"")</f>
        <v>0.76190476190476186</v>
      </c>
      <c r="E4" s="49">
        <f ca="1">IFERROR(VLOOKUP($A4,ClassGrupFases!$C$6:$Q$14,4,FALSE),"")</f>
        <v>16</v>
      </c>
      <c r="F4" s="49">
        <f ca="1">IFERROR(VLOOKUP($A4,ClassGrupFases!$C$6:$Q$14,5,FALSE),"")</f>
        <v>7</v>
      </c>
      <c r="G4" s="49">
        <f ca="1">IFERROR(VLOOKUP($A4,ClassGrupFases!$C$6:$Q$14,6,FALSE),"")</f>
        <v>5</v>
      </c>
      <c r="H4" s="49">
        <f ca="1">IFERROR(VLOOKUP($A4,ClassGrupFases!$C$6:$Q$14,7,FALSE),"")</f>
        <v>1</v>
      </c>
      <c r="I4" s="49">
        <f ca="1">IFERROR(VLOOKUP($A4,ClassGrupFases!$C$6:$Q$14,8,FALSE),"")</f>
        <v>1</v>
      </c>
      <c r="J4" s="49">
        <f ca="1">IFERROR(VLOOKUP($A4,ClassGrupFases!$C$6:$Q$14,9,FALSE),"")</f>
        <v>16</v>
      </c>
      <c r="K4" s="49">
        <f ca="1">IFERROR(VLOOKUP($A4,ClassGrupFases!$C$6:$Q$14,10,FALSE),"")</f>
        <v>9</v>
      </c>
      <c r="L4" s="49">
        <f ca="1">IFERROR(VLOOKUP($A4,ClassGrupFases!$C$6:$Q$14,11,FALSE),"")</f>
        <v>7</v>
      </c>
      <c r="M4" s="41">
        <f ca="1">IFERROR(VLOOKUP($A4,ClassGrupFases!$C$6:$Q$14,1,FALSE),"")</f>
        <v>1</v>
      </c>
    </row>
    <row r="5" spans="1:13" x14ac:dyDescent="0.25">
      <c r="A5" s="37">
        <v>2</v>
      </c>
      <c r="B5" s="46">
        <f ca="1">IFERROR(VLOOKUP($A5,ClassGrupFases!$C$6:$Q$14,15,FALSE),"")</f>
        <v>2</v>
      </c>
      <c r="C5" s="47" t="str">
        <f ca="1">IFERROR(VLOOKUP($A5,ClassGrupFases!$C$6:$Q$14,2,FALSE),"")</f>
        <v>RUAS(CEPE)</v>
      </c>
      <c r="D5" s="48">
        <f ca="1">IFERROR(VLOOKUP($A5,ClassGrupFases!$C$6:$Q$14,3,FALSE),"")</f>
        <v>0.66666666666666663</v>
      </c>
      <c r="E5" s="49">
        <f ca="1">IFERROR(VLOOKUP($A5,ClassGrupFases!$C$6:$Q$14,4,FALSE),"")</f>
        <v>14</v>
      </c>
      <c r="F5" s="49">
        <f ca="1">IFERROR(VLOOKUP($A5,ClassGrupFases!$C$6:$Q$14,5,FALSE),"")</f>
        <v>7</v>
      </c>
      <c r="G5" s="49">
        <f ca="1">IFERROR(VLOOKUP($A5,ClassGrupFases!$C$6:$Q$14,6,FALSE),"")</f>
        <v>4</v>
      </c>
      <c r="H5" s="49">
        <f ca="1">IFERROR(VLOOKUP($A5,ClassGrupFases!$C$6:$Q$14,7,FALSE),"")</f>
        <v>2</v>
      </c>
      <c r="I5" s="49">
        <f ca="1">IFERROR(VLOOKUP($A5,ClassGrupFases!$C$6:$Q$14,8,FALSE),"")</f>
        <v>1</v>
      </c>
      <c r="J5" s="49">
        <f ca="1">IFERROR(VLOOKUP($A5,ClassGrupFases!$C$6:$Q$14,9,FALSE),"")</f>
        <v>13</v>
      </c>
      <c r="K5" s="49">
        <f ca="1">IFERROR(VLOOKUP($A5,ClassGrupFases!$C$6:$Q$14,10,FALSE),"")</f>
        <v>8</v>
      </c>
      <c r="L5" s="49">
        <f ca="1">IFERROR(VLOOKUP($A5,ClassGrupFases!$C$6:$Q$14,11,FALSE),"")</f>
        <v>5</v>
      </c>
      <c r="M5" s="41">
        <f ca="1">IFERROR(VLOOKUP($A5,ClassGrupFases!$C$6:$Q$14,1,FALSE),"")</f>
        <v>2</v>
      </c>
    </row>
    <row r="6" spans="1:13" x14ac:dyDescent="0.25">
      <c r="A6" s="37">
        <v>3</v>
      </c>
      <c r="B6" s="46">
        <f ca="1">IFERROR(VLOOKUP($A6,ClassGrupFases!$C$6:$Q$14,15,FALSE),"")</f>
        <v>3</v>
      </c>
      <c r="C6" s="47" t="str">
        <f ca="1">IFERROR(VLOOKUP($A6,ClassGrupFases!$C$6:$Q$14,2,FALSE),"")</f>
        <v>AURÉLIO(BF)</v>
      </c>
      <c r="D6" s="48">
        <f ca="1">IFERROR(VLOOKUP($A6,ClassGrupFases!$C$6:$Q$14,3,FALSE),"")</f>
        <v>0.52380952380952384</v>
      </c>
      <c r="E6" s="49">
        <f ca="1">IFERROR(VLOOKUP($A6,ClassGrupFases!$C$6:$Q$14,4,FALSE),"")</f>
        <v>11</v>
      </c>
      <c r="F6" s="49">
        <f ca="1">IFERROR(VLOOKUP($A6,ClassGrupFases!$C$6:$Q$14,5,FALSE),"")</f>
        <v>7</v>
      </c>
      <c r="G6" s="49">
        <f ca="1">IFERROR(VLOOKUP($A6,ClassGrupFases!$C$6:$Q$14,6,FALSE),"")</f>
        <v>3</v>
      </c>
      <c r="H6" s="49">
        <f ca="1">IFERROR(VLOOKUP($A6,ClassGrupFases!$C$6:$Q$14,7,FALSE),"")</f>
        <v>2</v>
      </c>
      <c r="I6" s="49">
        <f ca="1">IFERROR(VLOOKUP($A6,ClassGrupFases!$C$6:$Q$14,8,FALSE),"")</f>
        <v>2</v>
      </c>
      <c r="J6" s="49">
        <f ca="1">IFERROR(VLOOKUP($A6,ClassGrupFases!$C$6:$Q$14,9,FALSE),"")</f>
        <v>10</v>
      </c>
      <c r="K6" s="49">
        <f ca="1">IFERROR(VLOOKUP($A6,ClassGrupFases!$C$6:$Q$14,10,FALSE),"")</f>
        <v>8</v>
      </c>
      <c r="L6" s="49">
        <f ca="1">IFERROR(VLOOKUP($A6,ClassGrupFases!$C$6:$Q$14,11,FALSE),"")</f>
        <v>2</v>
      </c>
      <c r="M6" s="41">
        <f ca="1">IFERROR(VLOOKUP($A6,ClassGrupFases!$C$6:$Q$14,1,FALSE),"")</f>
        <v>3</v>
      </c>
    </row>
    <row r="7" spans="1:13" x14ac:dyDescent="0.25">
      <c r="A7" s="37">
        <v>4</v>
      </c>
      <c r="B7" s="46">
        <f ca="1">IFERROR(VLOOKUP($A7,ClassGrupFases!$C$6:$Q$14,15,FALSE),"")</f>
        <v>4</v>
      </c>
      <c r="C7" s="47" t="str">
        <f ca="1">IFERROR(VLOOKUP($A7,ClassGrupFases!$C$6:$Q$14,2,FALSE),"")</f>
        <v>PROFESSOR(LTVL)</v>
      </c>
      <c r="D7" s="48">
        <f ca="1">IFERROR(VLOOKUP($A7,ClassGrupFases!$C$6:$Q$14,3,FALSE),"")</f>
        <v>0.47619047619047616</v>
      </c>
      <c r="E7" s="49">
        <f ca="1">IFERROR(VLOOKUP($A7,ClassGrupFases!$C$6:$Q$14,4,FALSE),"")</f>
        <v>10</v>
      </c>
      <c r="F7" s="49">
        <f ca="1">IFERROR(VLOOKUP($A7,ClassGrupFases!$C$6:$Q$14,5,FALSE),"")</f>
        <v>7</v>
      </c>
      <c r="G7" s="49">
        <f ca="1">IFERROR(VLOOKUP($A7,ClassGrupFases!$C$6:$Q$14,6,FALSE),"")</f>
        <v>3</v>
      </c>
      <c r="H7" s="49">
        <f ca="1">IFERROR(VLOOKUP($A7,ClassGrupFases!$C$6:$Q$14,7,FALSE),"")</f>
        <v>1</v>
      </c>
      <c r="I7" s="49">
        <f ca="1">IFERROR(VLOOKUP($A7,ClassGrupFases!$C$6:$Q$14,8,FALSE),"")</f>
        <v>3</v>
      </c>
      <c r="J7" s="49">
        <f ca="1">IFERROR(VLOOKUP($A7,ClassGrupFases!$C$6:$Q$14,9,FALSE),"")</f>
        <v>6</v>
      </c>
      <c r="K7" s="49">
        <f ca="1">IFERROR(VLOOKUP($A7,ClassGrupFases!$C$6:$Q$14,10,FALSE),"")</f>
        <v>9</v>
      </c>
      <c r="L7" s="49">
        <f ca="1">IFERROR(VLOOKUP($A7,ClassGrupFases!$C$6:$Q$14,11,FALSE),"")</f>
        <v>-3</v>
      </c>
      <c r="M7" s="41">
        <f ca="1">IFERROR(VLOOKUP($A7,ClassGrupFases!$C$6:$Q$14,1,FALSE),"")</f>
        <v>4</v>
      </c>
    </row>
    <row r="8" spans="1:13" x14ac:dyDescent="0.25">
      <c r="A8" s="37">
        <v>5</v>
      </c>
      <c r="B8" s="46">
        <f ca="1">IFERROR(VLOOKUP($A8,ClassGrupFases!$C$6:$Q$14,15,FALSE),"")</f>
        <v>5</v>
      </c>
      <c r="C8" s="47" t="str">
        <f ca="1">IFERROR(VLOOKUP($A8,ClassGrupFases!$C$6:$Q$14,2,FALSE),"")</f>
        <v>COELHO(SCCP)</v>
      </c>
      <c r="D8" s="48">
        <f ca="1">IFERROR(VLOOKUP($A8,ClassGrupFases!$C$6:$Q$14,3,FALSE),"")</f>
        <v>0.33333333333333331</v>
      </c>
      <c r="E8" s="49">
        <f ca="1">IFERROR(VLOOKUP($A8,ClassGrupFases!$C$6:$Q$14,4,FALSE),"")</f>
        <v>7</v>
      </c>
      <c r="F8" s="49">
        <f ca="1">IFERROR(VLOOKUP($A8,ClassGrupFases!$C$6:$Q$14,5,FALSE),"")</f>
        <v>7</v>
      </c>
      <c r="G8" s="49">
        <f ca="1">IFERROR(VLOOKUP($A8,ClassGrupFases!$C$6:$Q$14,6,FALSE),"")</f>
        <v>2</v>
      </c>
      <c r="H8" s="49">
        <f ca="1">IFERROR(VLOOKUP($A8,ClassGrupFases!$C$6:$Q$14,7,FALSE),"")</f>
        <v>1</v>
      </c>
      <c r="I8" s="49">
        <f ca="1">IFERROR(VLOOKUP($A8,ClassGrupFases!$C$6:$Q$14,8,FALSE),"")</f>
        <v>4</v>
      </c>
      <c r="J8" s="49">
        <f ca="1">IFERROR(VLOOKUP($A8,ClassGrupFases!$C$6:$Q$14,9,FALSE),"")</f>
        <v>11</v>
      </c>
      <c r="K8" s="49">
        <f ca="1">IFERROR(VLOOKUP($A8,ClassGrupFases!$C$6:$Q$14,10,FALSE),"")</f>
        <v>17</v>
      </c>
      <c r="L8" s="49">
        <f ca="1">IFERROR(VLOOKUP($A8,ClassGrupFases!$C$6:$Q$14,11,FALSE),"")</f>
        <v>-6</v>
      </c>
      <c r="M8" s="41">
        <f ca="1">IFERROR(VLOOKUP($A8,ClassGrupFases!$C$6:$Q$14,1,FALSE),"")</f>
        <v>5</v>
      </c>
    </row>
    <row r="9" spans="1:13" x14ac:dyDescent="0.25">
      <c r="A9" s="37">
        <v>6</v>
      </c>
      <c r="B9" s="46">
        <f ca="1">IFERROR(VLOOKUP($A9,ClassGrupFases!$C$6:$Q$14,15,FALSE),"")</f>
        <v>6</v>
      </c>
      <c r="C9" s="47" t="str">
        <f ca="1">IFERROR(VLOOKUP($A9,ClassGrupFases!$C$6:$Q$14,2,FALSE),"")</f>
        <v>SALLYS(SPFC)</v>
      </c>
      <c r="D9" s="48">
        <f ca="1">IFERROR(VLOOKUP($A9,ClassGrupFases!$C$6:$Q$14,3,FALSE),"")</f>
        <v>0.33333333333333331</v>
      </c>
      <c r="E9" s="49">
        <f ca="1">IFERROR(VLOOKUP($A9,ClassGrupFases!$C$6:$Q$14,4,FALSE),"")</f>
        <v>7</v>
      </c>
      <c r="F9" s="49">
        <f ca="1">IFERROR(VLOOKUP($A9,ClassGrupFases!$C$6:$Q$14,5,FALSE),"")</f>
        <v>7</v>
      </c>
      <c r="G9" s="49">
        <f ca="1">IFERROR(VLOOKUP($A9,ClassGrupFases!$C$6:$Q$14,6,FALSE),"")</f>
        <v>1</v>
      </c>
      <c r="H9" s="49">
        <f ca="1">IFERROR(VLOOKUP($A9,ClassGrupFases!$C$6:$Q$14,7,FALSE),"")</f>
        <v>4</v>
      </c>
      <c r="I9" s="49">
        <f ca="1">IFERROR(VLOOKUP($A9,ClassGrupFases!$C$6:$Q$14,8,FALSE),"")</f>
        <v>2</v>
      </c>
      <c r="J9" s="49">
        <f ca="1">IFERROR(VLOOKUP($A9,ClassGrupFases!$C$6:$Q$14,9,FALSE),"")</f>
        <v>11</v>
      </c>
      <c r="K9" s="49">
        <f ca="1">IFERROR(VLOOKUP($A9,ClassGrupFases!$C$6:$Q$14,10,FALSE),"")</f>
        <v>12</v>
      </c>
      <c r="L9" s="49">
        <f ca="1">IFERROR(VLOOKUP($A9,ClassGrupFases!$C$6:$Q$14,11,FALSE),"")</f>
        <v>-1</v>
      </c>
      <c r="M9" s="41">
        <f ca="1">IFERROR(VLOOKUP($A9,ClassGrupFases!$C$6:$Q$14,1,FALSE),"")</f>
        <v>6</v>
      </c>
    </row>
    <row r="10" spans="1:13" x14ac:dyDescent="0.25">
      <c r="A10" s="37">
        <v>7</v>
      </c>
      <c r="B10" s="46">
        <f ca="1">IFERROR(VLOOKUP($A10,ClassGrupFases!$C$6:$Q$14,15,FALSE),"")</f>
        <v>7</v>
      </c>
      <c r="C10" s="47" t="str">
        <f ca="1">IFERROR(VLOOKUP($A10,ClassGrupFases!$C$6:$Q$14,2,FALSE),"")</f>
        <v>CLÉO JR (CEPE)</v>
      </c>
      <c r="D10" s="48">
        <f ca="1">IFERROR(VLOOKUP($A10,ClassGrupFases!$C$6:$Q$14,3,FALSE),"")</f>
        <v>0.2857142857142857</v>
      </c>
      <c r="E10" s="49">
        <f ca="1">IFERROR(VLOOKUP($A10,ClassGrupFases!$C$6:$Q$14,4,FALSE),"")</f>
        <v>6</v>
      </c>
      <c r="F10" s="49">
        <f ca="1">IFERROR(VLOOKUP($A10,ClassGrupFases!$C$6:$Q$14,5,FALSE),"")</f>
        <v>7</v>
      </c>
      <c r="G10" s="49">
        <f ca="1">IFERROR(VLOOKUP($A10,ClassGrupFases!$C$6:$Q$14,6,FALSE),"")</f>
        <v>1</v>
      </c>
      <c r="H10" s="49">
        <f ca="1">IFERROR(VLOOKUP($A10,ClassGrupFases!$C$6:$Q$14,7,FALSE),"")</f>
        <v>3</v>
      </c>
      <c r="I10" s="49">
        <f ca="1">IFERROR(VLOOKUP($A10,ClassGrupFases!$C$6:$Q$14,8,FALSE),"")</f>
        <v>3</v>
      </c>
      <c r="J10" s="49">
        <f ca="1">IFERROR(VLOOKUP($A10,ClassGrupFases!$C$6:$Q$14,9,FALSE),"")</f>
        <v>10</v>
      </c>
      <c r="K10" s="49">
        <f ca="1">IFERROR(VLOOKUP($A10,ClassGrupFases!$C$6:$Q$14,10,FALSE),"")</f>
        <v>10</v>
      </c>
      <c r="L10" s="49">
        <f ca="1">IFERROR(VLOOKUP($A10,ClassGrupFases!$C$6:$Q$14,11,FALSE),"")</f>
        <v>0</v>
      </c>
      <c r="M10" s="41">
        <f ca="1">IFERROR(VLOOKUP($A10,ClassGrupFases!$C$6:$Q$14,1,FALSE),"")</f>
        <v>7</v>
      </c>
    </row>
    <row r="11" spans="1:13" x14ac:dyDescent="0.25">
      <c r="A11" s="37">
        <v>8</v>
      </c>
      <c r="B11" s="50">
        <f ca="1">IFERROR(VLOOKUP($A11,ClassGrupFases!$C$6:$Q$14,15,FALSE),"")</f>
        <v>8</v>
      </c>
      <c r="C11" s="51" t="str">
        <f ca="1">IFERROR(VLOOKUP($A11,ClassGrupFases!$C$6:$Q$14,2,FALSE),"")</f>
        <v>CORTEZ(MZ)</v>
      </c>
      <c r="D11" s="52">
        <f ca="1">IFERROR(VLOOKUP($A11,ClassGrupFases!$C$6:$Q$14,3,FALSE),"")</f>
        <v>0.23809523809523808</v>
      </c>
      <c r="E11" s="53">
        <f ca="1">IFERROR(VLOOKUP($A11,ClassGrupFases!$C$6:$Q$14,4,FALSE),"")</f>
        <v>5</v>
      </c>
      <c r="F11" s="53">
        <f ca="1">IFERROR(VLOOKUP($A11,ClassGrupFases!$C$6:$Q$14,5,FALSE),"")</f>
        <v>7</v>
      </c>
      <c r="G11" s="53">
        <f ca="1">IFERROR(VLOOKUP($A11,ClassGrupFases!$C$6:$Q$14,6,FALSE),"")</f>
        <v>1</v>
      </c>
      <c r="H11" s="53">
        <f ca="1">IFERROR(VLOOKUP($A11,ClassGrupFases!$C$6:$Q$14,7,FALSE),"")</f>
        <v>2</v>
      </c>
      <c r="I11" s="53">
        <f ca="1">IFERROR(VLOOKUP($A11,ClassGrupFases!$C$6:$Q$14,8,FALSE),"")</f>
        <v>4</v>
      </c>
      <c r="J11" s="53">
        <f ca="1">IFERROR(VLOOKUP($A11,ClassGrupFases!$C$6:$Q$14,9,FALSE),"")</f>
        <v>8</v>
      </c>
      <c r="K11" s="53">
        <f ca="1">IFERROR(VLOOKUP($A11,ClassGrupFases!$C$6:$Q$14,10,FALSE),"")</f>
        <v>12</v>
      </c>
      <c r="L11" s="53">
        <f ca="1">IFERROR(VLOOKUP($A11,ClassGrupFases!$C$6:$Q$14,11,FALSE),"")</f>
        <v>-4</v>
      </c>
      <c r="M11" s="41">
        <f ca="1">IFERROR(VLOOKUP($A11,ClassGrupFases!$C$6:$Q$14,1,FALSE),"")</f>
        <v>8</v>
      </c>
    </row>
    <row r="13" spans="1:13" x14ac:dyDescent="0.25">
      <c r="B13" s="43" t="s">
        <v>24</v>
      </c>
      <c r="C13" s="44" t="s">
        <v>34</v>
      </c>
      <c r="D13" s="45" t="s">
        <v>35</v>
      </c>
      <c r="E13" s="45" t="s">
        <v>36</v>
      </c>
      <c r="F13" s="45" t="s">
        <v>14</v>
      </c>
      <c r="G13" s="45" t="s">
        <v>15</v>
      </c>
      <c r="H13" s="45" t="s">
        <v>16</v>
      </c>
      <c r="I13" s="45" t="s">
        <v>17</v>
      </c>
      <c r="J13" s="45" t="s">
        <v>37</v>
      </c>
      <c r="K13" s="45" t="s">
        <v>38</v>
      </c>
      <c r="L13" s="45" t="s">
        <v>39</v>
      </c>
    </row>
    <row r="14" spans="1:13" x14ac:dyDescent="0.25">
      <c r="A14" s="37">
        <v>1</v>
      </c>
      <c r="B14" s="46">
        <f ca="1">IFERROR(VLOOKUP($A14,ClassGrupFases!$C$16:$Q$24,15,FALSE),"")</f>
        <v>1</v>
      </c>
      <c r="C14" s="47" t="str">
        <f ca="1">IFERROR(VLOOKUP($A14,ClassGrupFases!$C$16:$Q$24,2,FALSE),"")</f>
        <v>VINICIUS ROLIM(SCCP)</v>
      </c>
      <c r="D14" s="48">
        <f ca="1">IFERROR(VLOOKUP($A14,ClassGrupFases!$C$16:$Q$24,3,FALSE),"")</f>
        <v>0.80952380952380953</v>
      </c>
      <c r="E14" s="49">
        <f ca="1">IFERROR(VLOOKUP($A14,ClassGrupFases!$C$16:$Q$24,4,FALSE),"")</f>
        <v>17</v>
      </c>
      <c r="F14" s="49">
        <f ca="1">IFERROR(VLOOKUP($A14,ClassGrupFases!$C$16:$Q$24,5,FALSE),"")</f>
        <v>7</v>
      </c>
      <c r="G14" s="49">
        <f ca="1">IFERROR(VLOOKUP($A14,ClassGrupFases!$C$16:$Q$24,6,FALSE),"")</f>
        <v>5</v>
      </c>
      <c r="H14" s="49">
        <f ca="1">IFERROR(VLOOKUP($A14,ClassGrupFases!$C$16:$Q$24,7,FALSE),"")</f>
        <v>2</v>
      </c>
      <c r="I14" s="49">
        <f ca="1">IFERROR(VLOOKUP($A14,ClassGrupFases!$C$16:$Q$24,8,FALSE),"")</f>
        <v>0</v>
      </c>
      <c r="J14" s="49">
        <f ca="1">IFERROR(VLOOKUP($A14,ClassGrupFases!$C$16:$Q$24,9,FALSE),"")</f>
        <v>12</v>
      </c>
      <c r="K14" s="49">
        <f ca="1">IFERROR(VLOOKUP($A14,ClassGrupFases!$C$16:$Q$24,10,FALSE),"")</f>
        <v>6</v>
      </c>
      <c r="L14" s="49">
        <f ca="1">IFERROR(VLOOKUP($A14,ClassGrupFases!$C$16:$Q$24,11,FALSE),"")</f>
        <v>6</v>
      </c>
      <c r="M14" s="41">
        <f ca="1">IFERROR(VLOOKUP($A14,ClassGrupFases!$C$16:$Q$24,1,FALSE),"")</f>
        <v>1</v>
      </c>
    </row>
    <row r="15" spans="1:13" x14ac:dyDescent="0.25">
      <c r="A15" s="37">
        <v>2</v>
      </c>
      <c r="B15" s="46">
        <f ca="1">IFERROR(VLOOKUP($A15,ClassGrupFases!$C$16:$Q$24,15,FALSE),"")</f>
        <v>2</v>
      </c>
      <c r="C15" s="47" t="str">
        <f ca="1">IFERROR(VLOOKUP($A15,ClassGrupFases!$C$16:$Q$24,2,FALSE),"")</f>
        <v>TABAJARA(CEPE)</v>
      </c>
      <c r="D15" s="48">
        <f ca="1">IFERROR(VLOOKUP($A15,ClassGrupFases!$C$16:$Q$24,3,FALSE),"")</f>
        <v>0.7142857142857143</v>
      </c>
      <c r="E15" s="49">
        <f ca="1">IFERROR(VLOOKUP($A15,ClassGrupFases!$C$16:$Q$24,4,FALSE),"")</f>
        <v>15</v>
      </c>
      <c r="F15" s="49">
        <f ca="1">IFERROR(VLOOKUP($A15,ClassGrupFases!$C$16:$Q$24,5,FALSE),"")</f>
        <v>7</v>
      </c>
      <c r="G15" s="49">
        <f ca="1">IFERROR(VLOOKUP($A15,ClassGrupFases!$C$16:$Q$24,6,FALSE),"")</f>
        <v>4</v>
      </c>
      <c r="H15" s="49">
        <f ca="1">IFERROR(VLOOKUP($A15,ClassGrupFases!$C$16:$Q$24,7,FALSE),"")</f>
        <v>3</v>
      </c>
      <c r="I15" s="49">
        <f ca="1">IFERROR(VLOOKUP($A15,ClassGrupFases!$C$16:$Q$24,8,FALSE),"")</f>
        <v>0</v>
      </c>
      <c r="J15" s="49">
        <f ca="1">IFERROR(VLOOKUP($A15,ClassGrupFases!$C$16:$Q$24,9,FALSE),"")</f>
        <v>18</v>
      </c>
      <c r="K15" s="49">
        <f ca="1">IFERROR(VLOOKUP($A15,ClassGrupFases!$C$16:$Q$24,10,FALSE),"")</f>
        <v>6</v>
      </c>
      <c r="L15" s="49">
        <f ca="1">IFERROR(VLOOKUP($A15,ClassGrupFases!$C$16:$Q$24,11,FALSE),"")</f>
        <v>12</v>
      </c>
      <c r="M15" s="41">
        <f ca="1">IFERROR(VLOOKUP($A15,ClassGrupFases!$C$16:$Q$24,1,FALSE),"")</f>
        <v>2</v>
      </c>
    </row>
    <row r="16" spans="1:13" x14ac:dyDescent="0.25">
      <c r="A16" s="37">
        <v>3</v>
      </c>
      <c r="B16" s="46">
        <f ca="1">IFERROR(VLOOKUP($A16,ClassGrupFases!$C$16:$Q$24,15,FALSE),"")</f>
        <v>3</v>
      </c>
      <c r="C16" s="47" t="str">
        <f ca="1">IFERROR(VLOOKUP($A16,ClassGrupFases!$C$16:$Q$24,2,FALSE),"")</f>
        <v>LUIZ COELHO(MZ)</v>
      </c>
      <c r="D16" s="48">
        <f ca="1">IFERROR(VLOOKUP($A16,ClassGrupFases!$C$16:$Q$24,3,FALSE),"")</f>
        <v>0.47619047619047616</v>
      </c>
      <c r="E16" s="49">
        <f ca="1">IFERROR(VLOOKUP($A16,ClassGrupFases!$C$16:$Q$24,4,FALSE),"")</f>
        <v>10</v>
      </c>
      <c r="F16" s="49">
        <f ca="1">IFERROR(VLOOKUP($A16,ClassGrupFases!$C$16:$Q$24,5,FALSE),"")</f>
        <v>7</v>
      </c>
      <c r="G16" s="49">
        <f ca="1">IFERROR(VLOOKUP($A16,ClassGrupFases!$C$16:$Q$24,6,FALSE),"")</f>
        <v>2</v>
      </c>
      <c r="H16" s="49">
        <f ca="1">IFERROR(VLOOKUP($A16,ClassGrupFases!$C$16:$Q$24,7,FALSE),"")</f>
        <v>4</v>
      </c>
      <c r="I16" s="49">
        <f ca="1">IFERROR(VLOOKUP($A16,ClassGrupFases!$C$16:$Q$24,8,FALSE),"")</f>
        <v>1</v>
      </c>
      <c r="J16" s="49">
        <f ca="1">IFERROR(VLOOKUP($A16,ClassGrupFases!$C$16:$Q$24,9,FALSE),"")</f>
        <v>6</v>
      </c>
      <c r="K16" s="49">
        <f ca="1">IFERROR(VLOOKUP($A16,ClassGrupFases!$C$16:$Q$24,10,FALSE),"")</f>
        <v>6</v>
      </c>
      <c r="L16" s="49">
        <f ca="1">IFERROR(VLOOKUP($A16,ClassGrupFases!$C$16:$Q$24,11,FALSE),"")</f>
        <v>0</v>
      </c>
      <c r="M16" s="41">
        <f ca="1">IFERROR(VLOOKUP($A16,ClassGrupFases!$C$16:$Q$24,1,FALSE),"")</f>
        <v>3</v>
      </c>
    </row>
    <row r="17" spans="1:13" x14ac:dyDescent="0.25">
      <c r="A17" s="37">
        <v>4</v>
      </c>
      <c r="B17" s="46">
        <f ca="1">IFERROR(VLOOKUP($A17,ClassGrupFases!$C$16:$Q$24,15,FALSE),"")</f>
        <v>4</v>
      </c>
      <c r="C17" s="47" t="str">
        <f ca="1">IFERROR(VLOOKUP($A17,ClassGrupFases!$C$16:$Q$24,2,FALSE),"")</f>
        <v>ELSIO(SPFC)</v>
      </c>
      <c r="D17" s="48">
        <f ca="1">IFERROR(VLOOKUP($A17,ClassGrupFases!$C$16:$Q$24,3,FALSE),"")</f>
        <v>0.38095238095238093</v>
      </c>
      <c r="E17" s="49">
        <f ca="1">IFERROR(VLOOKUP($A17,ClassGrupFases!$C$16:$Q$24,4,FALSE),"")</f>
        <v>8</v>
      </c>
      <c r="F17" s="49">
        <f ca="1">IFERROR(VLOOKUP($A17,ClassGrupFases!$C$16:$Q$24,5,FALSE),"")</f>
        <v>7</v>
      </c>
      <c r="G17" s="49">
        <f ca="1">IFERROR(VLOOKUP($A17,ClassGrupFases!$C$16:$Q$24,6,FALSE),"")</f>
        <v>2</v>
      </c>
      <c r="H17" s="49">
        <f ca="1">IFERROR(VLOOKUP($A17,ClassGrupFases!$C$16:$Q$24,7,FALSE),"")</f>
        <v>2</v>
      </c>
      <c r="I17" s="49">
        <f ca="1">IFERROR(VLOOKUP($A17,ClassGrupFases!$C$16:$Q$24,8,FALSE),"")</f>
        <v>3</v>
      </c>
      <c r="J17" s="49">
        <f ca="1">IFERROR(VLOOKUP($A17,ClassGrupFases!$C$16:$Q$24,9,FALSE),"")</f>
        <v>11</v>
      </c>
      <c r="K17" s="49">
        <f ca="1">IFERROR(VLOOKUP($A17,ClassGrupFases!$C$16:$Q$24,10,FALSE),"")</f>
        <v>11</v>
      </c>
      <c r="L17" s="49">
        <f ca="1">IFERROR(VLOOKUP($A17,ClassGrupFases!$C$16:$Q$24,11,FALSE),"")</f>
        <v>0</v>
      </c>
      <c r="M17" s="41">
        <f ca="1">IFERROR(VLOOKUP($A17,ClassGrupFases!$C$16:$Q$24,1,FALSE),"")</f>
        <v>4</v>
      </c>
    </row>
    <row r="18" spans="1:13" x14ac:dyDescent="0.25">
      <c r="A18" s="37">
        <v>5</v>
      </c>
      <c r="B18" s="46">
        <f ca="1">IFERROR(VLOOKUP($A18,ClassGrupFases!$C$16:$Q$24,15,FALSE),"")</f>
        <v>5</v>
      </c>
      <c r="C18" s="47" t="str">
        <f ca="1">IFERROR(VLOOKUP($A18,ClassGrupFases!$C$16:$Q$24,2,FALSE),"")</f>
        <v>AUGUSTO(BF)</v>
      </c>
      <c r="D18" s="48">
        <f ca="1">IFERROR(VLOOKUP($A18,ClassGrupFases!$C$16:$Q$24,3,FALSE),"")</f>
        <v>0.38095238095238093</v>
      </c>
      <c r="E18" s="49">
        <f ca="1">IFERROR(VLOOKUP($A18,ClassGrupFases!$C$16:$Q$24,4,FALSE),"")</f>
        <v>8</v>
      </c>
      <c r="F18" s="49">
        <f ca="1">IFERROR(VLOOKUP($A18,ClassGrupFases!$C$16:$Q$24,5,FALSE),"")</f>
        <v>7</v>
      </c>
      <c r="G18" s="49">
        <f ca="1">IFERROR(VLOOKUP($A18,ClassGrupFases!$C$16:$Q$24,6,FALSE),"")</f>
        <v>2</v>
      </c>
      <c r="H18" s="49">
        <f ca="1">IFERROR(VLOOKUP($A18,ClassGrupFases!$C$16:$Q$24,7,FALSE),"")</f>
        <v>2</v>
      </c>
      <c r="I18" s="49">
        <f ca="1">IFERROR(VLOOKUP($A18,ClassGrupFases!$C$16:$Q$24,8,FALSE),"")</f>
        <v>3</v>
      </c>
      <c r="J18" s="49">
        <f ca="1">IFERROR(VLOOKUP($A18,ClassGrupFases!$C$16:$Q$24,9,FALSE),"")</f>
        <v>9</v>
      </c>
      <c r="K18" s="49">
        <f ca="1">IFERROR(VLOOKUP($A18,ClassGrupFases!$C$16:$Q$24,10,FALSE),"")</f>
        <v>10</v>
      </c>
      <c r="L18" s="49">
        <f ca="1">IFERROR(VLOOKUP($A18,ClassGrupFases!$C$16:$Q$24,11,FALSE),"")</f>
        <v>-1</v>
      </c>
      <c r="M18" s="41">
        <f ca="1">IFERROR(VLOOKUP($A18,ClassGrupFases!$C$16:$Q$24,1,FALSE),"")</f>
        <v>5</v>
      </c>
    </row>
    <row r="19" spans="1:13" x14ac:dyDescent="0.25">
      <c r="A19" s="37">
        <v>6</v>
      </c>
      <c r="B19" s="46">
        <f ca="1">IFERROR(VLOOKUP($A19,ClassGrupFases!$C$16:$Q$24,15,FALSE),"")</f>
        <v>6</v>
      </c>
      <c r="C19" s="47" t="str">
        <f ca="1">IFERROR(VLOOKUP($A19,ClassGrupFases!$C$16:$Q$24,2,FALSE),"")</f>
        <v>DIOGO(CEPE)</v>
      </c>
      <c r="D19" s="48">
        <f ca="1">IFERROR(VLOOKUP($A19,ClassGrupFases!$C$16:$Q$24,3,FALSE),"")</f>
        <v>0.38095238095238093</v>
      </c>
      <c r="E19" s="49">
        <f ca="1">IFERROR(VLOOKUP($A19,ClassGrupFases!$C$16:$Q$24,4,FALSE),"")</f>
        <v>8</v>
      </c>
      <c r="F19" s="49">
        <f ca="1">IFERROR(VLOOKUP($A19,ClassGrupFases!$C$16:$Q$24,5,FALSE),"")</f>
        <v>7</v>
      </c>
      <c r="G19" s="49">
        <f ca="1">IFERROR(VLOOKUP($A19,ClassGrupFases!$C$16:$Q$24,6,FALSE),"")</f>
        <v>2</v>
      </c>
      <c r="H19" s="49">
        <f ca="1">IFERROR(VLOOKUP($A19,ClassGrupFases!$C$16:$Q$24,7,FALSE),"")</f>
        <v>2</v>
      </c>
      <c r="I19" s="49">
        <f ca="1">IFERROR(VLOOKUP($A19,ClassGrupFases!$C$16:$Q$24,8,FALSE),"")</f>
        <v>3</v>
      </c>
      <c r="J19" s="49">
        <f ca="1">IFERROR(VLOOKUP($A19,ClassGrupFases!$C$16:$Q$24,9,FALSE),"")</f>
        <v>10</v>
      </c>
      <c r="K19" s="49">
        <f ca="1">IFERROR(VLOOKUP($A19,ClassGrupFases!$C$16:$Q$24,10,FALSE),"")</f>
        <v>13</v>
      </c>
      <c r="L19" s="49">
        <f ca="1">IFERROR(VLOOKUP($A19,ClassGrupFases!$C$16:$Q$24,11,FALSE),"")</f>
        <v>-3</v>
      </c>
      <c r="M19" s="41">
        <f ca="1">IFERROR(VLOOKUP($A19,ClassGrupFases!$C$16:$Q$24,1,FALSE),"")</f>
        <v>6</v>
      </c>
    </row>
    <row r="20" spans="1:13" x14ac:dyDescent="0.25">
      <c r="A20" s="37">
        <v>7</v>
      </c>
      <c r="B20" s="46">
        <f ca="1">IFERROR(VLOOKUP($A20,ClassGrupFases!$C$16:$Q$24,15,FALSE),"")</f>
        <v>7</v>
      </c>
      <c r="C20" s="47" t="str">
        <f ca="1">IFERROR(VLOOKUP($A20,ClassGrupFases!$C$16:$Q$24,2,FALSE),"")</f>
        <v>MARIELCIO(LTVL)</v>
      </c>
      <c r="D20" s="48">
        <f ca="1">IFERROR(VLOOKUP($A20,ClassGrupFases!$C$16:$Q$24,3,FALSE),"")</f>
        <v>0.19047619047619047</v>
      </c>
      <c r="E20" s="49">
        <f ca="1">IFERROR(VLOOKUP($A20,ClassGrupFases!$C$16:$Q$24,4,FALSE),"")</f>
        <v>4</v>
      </c>
      <c r="F20" s="49">
        <f ca="1">IFERROR(VLOOKUP($A20,ClassGrupFases!$C$16:$Q$24,5,FALSE),"")</f>
        <v>7</v>
      </c>
      <c r="G20" s="49">
        <f ca="1">IFERROR(VLOOKUP($A20,ClassGrupFases!$C$16:$Q$24,6,FALSE),"")</f>
        <v>1</v>
      </c>
      <c r="H20" s="49">
        <f ca="1">IFERROR(VLOOKUP($A20,ClassGrupFases!$C$16:$Q$24,7,FALSE),"")</f>
        <v>1</v>
      </c>
      <c r="I20" s="49">
        <f ca="1">IFERROR(VLOOKUP($A20,ClassGrupFases!$C$16:$Q$24,8,FALSE),"")</f>
        <v>5</v>
      </c>
      <c r="J20" s="49">
        <f ca="1">IFERROR(VLOOKUP($A20,ClassGrupFases!$C$16:$Q$24,9,FALSE),"")</f>
        <v>5</v>
      </c>
      <c r="K20" s="49">
        <f ca="1">IFERROR(VLOOKUP($A20,ClassGrupFases!$C$16:$Q$24,10,FALSE),"")</f>
        <v>12</v>
      </c>
      <c r="L20" s="49">
        <f ca="1">IFERROR(VLOOKUP($A20,ClassGrupFases!$C$16:$Q$24,11,FALSE),"")</f>
        <v>-7</v>
      </c>
      <c r="M20" s="41">
        <f ca="1">IFERROR(VLOOKUP($A20,ClassGrupFases!$C$16:$Q$24,1,FALSE),"")</f>
        <v>7</v>
      </c>
    </row>
    <row r="21" spans="1:13" x14ac:dyDescent="0.25">
      <c r="A21" s="37">
        <v>8</v>
      </c>
      <c r="B21" s="50">
        <f ca="1">IFERROR(VLOOKUP($A21,ClassGrupFases!$C$16:$Q$24,15,FALSE),"")</f>
        <v>8</v>
      </c>
      <c r="C21" s="51" t="str">
        <f ca="1">IFERROR(VLOOKUP($A21,ClassGrupFases!$C$16:$Q$24,2,FALSE),"")</f>
        <v>REGINALDO(SCCP)</v>
      </c>
      <c r="D21" s="52">
        <f ca="1">IFERROR(VLOOKUP($A21,ClassGrupFases!$C$16:$Q$24,3,FALSE),"")</f>
        <v>0.19047619047619047</v>
      </c>
      <c r="E21" s="53">
        <f ca="1">IFERROR(VLOOKUP($A21,ClassGrupFases!$C$16:$Q$24,4,FALSE),"")</f>
        <v>4</v>
      </c>
      <c r="F21" s="53">
        <f ca="1">IFERROR(VLOOKUP($A21,ClassGrupFases!$C$16:$Q$24,5,FALSE),"")</f>
        <v>7</v>
      </c>
      <c r="G21" s="53">
        <f ca="1">IFERROR(VLOOKUP($A21,ClassGrupFases!$C$16:$Q$24,6,FALSE),"")</f>
        <v>0</v>
      </c>
      <c r="H21" s="53">
        <f ca="1">IFERROR(VLOOKUP($A21,ClassGrupFases!$C$16:$Q$24,7,FALSE),"")</f>
        <v>4</v>
      </c>
      <c r="I21" s="53">
        <f ca="1">IFERROR(VLOOKUP($A21,ClassGrupFases!$C$16:$Q$24,8,FALSE),"")</f>
        <v>3</v>
      </c>
      <c r="J21" s="53">
        <f ca="1">IFERROR(VLOOKUP($A21,ClassGrupFases!$C$16:$Q$24,9,FALSE),"")</f>
        <v>7</v>
      </c>
      <c r="K21" s="53">
        <f ca="1">IFERROR(VLOOKUP($A21,ClassGrupFases!$C$16:$Q$24,10,FALSE),"")</f>
        <v>14</v>
      </c>
      <c r="L21" s="53">
        <f ca="1">IFERROR(VLOOKUP($A21,ClassGrupFases!$C$16:$Q$24,11,FALSE),"")</f>
        <v>-7</v>
      </c>
      <c r="M21" s="41">
        <f ca="1">IFERROR(VLOOKUP($A21,ClassGrupFases!$C$16:$Q$24,1,FALSE),"")</f>
        <v>8</v>
      </c>
    </row>
    <row r="23" spans="1:13" x14ac:dyDescent="0.25">
      <c r="B23" s="43" t="s">
        <v>25</v>
      </c>
      <c r="C23" s="44" t="s">
        <v>34</v>
      </c>
      <c r="D23" s="45" t="s">
        <v>35</v>
      </c>
      <c r="E23" s="45" t="s">
        <v>36</v>
      </c>
      <c r="F23" s="45" t="s">
        <v>14</v>
      </c>
      <c r="G23" s="45" t="s">
        <v>15</v>
      </c>
      <c r="H23" s="45" t="s">
        <v>16</v>
      </c>
      <c r="I23" s="45" t="s">
        <v>17</v>
      </c>
      <c r="J23" s="45" t="s">
        <v>37</v>
      </c>
      <c r="K23" s="45" t="s">
        <v>38</v>
      </c>
      <c r="L23" s="45" t="s">
        <v>39</v>
      </c>
    </row>
    <row r="24" spans="1:13" x14ac:dyDescent="0.25">
      <c r="A24" s="37">
        <v>1</v>
      </c>
      <c r="B24" s="46">
        <f ca="1">IFERROR(VLOOKUP($A24,ClassGrupFases!$C$26:$Q$34,15,FALSE),"")</f>
        <v>1</v>
      </c>
      <c r="C24" s="47" t="str">
        <f ca="1">IFERROR(VLOOKUP($A24,ClassGrupFases!$C$26:$Q$34,2,FALSE),"")</f>
        <v>MARCOS MATTOS(BF)</v>
      </c>
      <c r="D24" s="48">
        <f ca="1">IFERROR(VLOOKUP($A24,ClassGrupFases!$C$26:$Q$34,3,FALSE),"")</f>
        <v>0.8571428571428571</v>
      </c>
      <c r="E24" s="49">
        <f ca="1">IFERROR(VLOOKUP($A24,ClassGrupFases!$C$26:$Q$34,4,FALSE),"")</f>
        <v>18</v>
      </c>
      <c r="F24" s="49">
        <f ca="1">IFERROR(VLOOKUP($A24,ClassGrupFases!$C$26:$Q$34,5,FALSE),"")</f>
        <v>7</v>
      </c>
      <c r="G24" s="49">
        <f ca="1">IFERROR(VLOOKUP($A24,ClassGrupFases!$C$26:$Q$34,6,FALSE),"")</f>
        <v>6</v>
      </c>
      <c r="H24" s="49">
        <f ca="1">IFERROR(VLOOKUP($A24,ClassGrupFases!$C$26:$Q$34,7,FALSE),"")</f>
        <v>0</v>
      </c>
      <c r="I24" s="49">
        <f ca="1">IFERROR(VLOOKUP($A24,ClassGrupFases!$C$26:$Q$34,8,FALSE),"")</f>
        <v>1</v>
      </c>
      <c r="J24" s="49">
        <f ca="1">IFERROR(VLOOKUP($A24,ClassGrupFases!$C$26:$Q$34,9,FALSE),"")</f>
        <v>17</v>
      </c>
      <c r="K24" s="49">
        <f ca="1">IFERROR(VLOOKUP($A24,ClassGrupFases!$C$26:$Q$34,10,FALSE),"")</f>
        <v>4</v>
      </c>
      <c r="L24" s="49">
        <f ca="1">IFERROR(VLOOKUP($A24,ClassGrupFases!$C$26:$Q$34,11,FALSE),"")</f>
        <v>13</v>
      </c>
      <c r="M24" s="41">
        <f ca="1">IFERROR(VLOOKUP($A24,ClassGrupFases!$C$26:$Q$34,1,FALSE),"")</f>
        <v>1</v>
      </c>
    </row>
    <row r="25" spans="1:13" x14ac:dyDescent="0.25">
      <c r="A25" s="37">
        <v>2</v>
      </c>
      <c r="B25" s="46">
        <f ca="1">IFERROR(VLOOKUP($A25,ClassGrupFases!$C$26:$Q$34,15,FALSE),"")</f>
        <v>2</v>
      </c>
      <c r="C25" s="47" t="str">
        <f ca="1">IFERROR(VLOOKUP($A25,ClassGrupFases!$C$26:$Q$34,2,FALSE),"")</f>
        <v>WAGNER(SPFC)</v>
      </c>
      <c r="D25" s="48">
        <f ca="1">IFERROR(VLOOKUP($A25,ClassGrupFases!$C$26:$Q$34,3,FALSE),"")</f>
        <v>0.66666666666666663</v>
      </c>
      <c r="E25" s="49">
        <f ca="1">IFERROR(VLOOKUP($A25,ClassGrupFases!$C$26:$Q$34,4,FALSE),"")</f>
        <v>14</v>
      </c>
      <c r="F25" s="49">
        <f ca="1">IFERROR(VLOOKUP($A25,ClassGrupFases!$C$26:$Q$34,5,FALSE),"")</f>
        <v>7</v>
      </c>
      <c r="G25" s="49">
        <f ca="1">IFERROR(VLOOKUP($A25,ClassGrupFases!$C$26:$Q$34,6,FALSE),"")</f>
        <v>4</v>
      </c>
      <c r="H25" s="49">
        <f ca="1">IFERROR(VLOOKUP($A25,ClassGrupFases!$C$26:$Q$34,7,FALSE),"")</f>
        <v>2</v>
      </c>
      <c r="I25" s="49">
        <f ca="1">IFERROR(VLOOKUP($A25,ClassGrupFases!$C$26:$Q$34,8,FALSE),"")</f>
        <v>1</v>
      </c>
      <c r="J25" s="49">
        <f ca="1">IFERROR(VLOOKUP($A25,ClassGrupFases!$C$26:$Q$34,9,FALSE),"")</f>
        <v>14</v>
      </c>
      <c r="K25" s="49">
        <f ca="1">IFERROR(VLOOKUP($A25,ClassGrupFases!$C$26:$Q$34,10,FALSE),"")</f>
        <v>9</v>
      </c>
      <c r="L25" s="49">
        <f ca="1">IFERROR(VLOOKUP($A25,ClassGrupFases!$C$26:$Q$34,11,FALSE),"")</f>
        <v>5</v>
      </c>
      <c r="M25" s="41">
        <f ca="1">IFERROR(VLOOKUP($A25,ClassGrupFases!$C$26:$Q$34,1,FALSE),"")</f>
        <v>2</v>
      </c>
    </row>
    <row r="26" spans="1:13" x14ac:dyDescent="0.25">
      <c r="A26" s="37">
        <v>3</v>
      </c>
      <c r="B26" s="46">
        <f ca="1">IFERROR(VLOOKUP($A26,ClassGrupFases!$C$26:$Q$34,15,FALSE),"")</f>
        <v>3</v>
      </c>
      <c r="C26" s="47" t="str">
        <f ca="1">IFERROR(VLOOKUP($A26,ClassGrupFases!$C$26:$Q$34,2,FALSE),"")</f>
        <v>MARIO MILI(MZ)</v>
      </c>
      <c r="D26" s="48">
        <f ca="1">IFERROR(VLOOKUP($A26,ClassGrupFases!$C$26:$Q$34,3,FALSE),"")</f>
        <v>0.61904761904761907</v>
      </c>
      <c r="E26" s="49">
        <f ca="1">IFERROR(VLOOKUP($A26,ClassGrupFases!$C$26:$Q$34,4,FALSE),"")</f>
        <v>13</v>
      </c>
      <c r="F26" s="49">
        <f ca="1">IFERROR(VLOOKUP($A26,ClassGrupFases!$C$26:$Q$34,5,FALSE),"")</f>
        <v>7</v>
      </c>
      <c r="G26" s="49">
        <f ca="1">IFERROR(VLOOKUP($A26,ClassGrupFases!$C$26:$Q$34,6,FALSE),"")</f>
        <v>4</v>
      </c>
      <c r="H26" s="49">
        <f ca="1">IFERROR(VLOOKUP($A26,ClassGrupFases!$C$26:$Q$34,7,FALSE),"")</f>
        <v>1</v>
      </c>
      <c r="I26" s="49">
        <f ca="1">IFERROR(VLOOKUP($A26,ClassGrupFases!$C$26:$Q$34,8,FALSE),"")</f>
        <v>2</v>
      </c>
      <c r="J26" s="49">
        <f ca="1">IFERROR(VLOOKUP($A26,ClassGrupFases!$C$26:$Q$34,9,FALSE),"")</f>
        <v>9</v>
      </c>
      <c r="K26" s="49">
        <f ca="1">IFERROR(VLOOKUP($A26,ClassGrupFases!$C$26:$Q$34,10,FALSE),"")</f>
        <v>6</v>
      </c>
      <c r="L26" s="49">
        <f ca="1">IFERROR(VLOOKUP($A26,ClassGrupFases!$C$26:$Q$34,11,FALSE),"")</f>
        <v>3</v>
      </c>
      <c r="M26" s="41">
        <f ca="1">IFERROR(VLOOKUP($A26,ClassGrupFases!$C$26:$Q$34,1,FALSE),"")</f>
        <v>3</v>
      </c>
    </row>
    <row r="27" spans="1:13" x14ac:dyDescent="0.25">
      <c r="A27" s="37">
        <v>4</v>
      </c>
      <c r="B27" s="46">
        <f ca="1">IFERROR(VLOOKUP($A27,ClassGrupFases!$C$26:$Q$34,15,FALSE),"")</f>
        <v>4</v>
      </c>
      <c r="C27" s="47" t="str">
        <f ca="1">IFERROR(VLOOKUP($A27,ClassGrupFases!$C$26:$Q$34,2,FALSE),"")</f>
        <v>FÉLIX(CEPE)</v>
      </c>
      <c r="D27" s="48">
        <f ca="1">IFERROR(VLOOKUP($A27,ClassGrupFases!$C$26:$Q$34,3,FALSE),"")</f>
        <v>0.47619047619047616</v>
      </c>
      <c r="E27" s="49">
        <f ca="1">IFERROR(VLOOKUP($A27,ClassGrupFases!$C$26:$Q$34,4,FALSE),"")</f>
        <v>10</v>
      </c>
      <c r="F27" s="49">
        <f ca="1">IFERROR(VLOOKUP($A27,ClassGrupFases!$C$26:$Q$34,5,FALSE),"")</f>
        <v>7</v>
      </c>
      <c r="G27" s="49">
        <f ca="1">IFERROR(VLOOKUP($A27,ClassGrupFases!$C$26:$Q$34,6,FALSE),"")</f>
        <v>3</v>
      </c>
      <c r="H27" s="49">
        <f ca="1">IFERROR(VLOOKUP($A27,ClassGrupFases!$C$26:$Q$34,7,FALSE),"")</f>
        <v>1</v>
      </c>
      <c r="I27" s="49">
        <f ca="1">IFERROR(VLOOKUP($A27,ClassGrupFases!$C$26:$Q$34,8,FALSE),"")</f>
        <v>3</v>
      </c>
      <c r="J27" s="49">
        <f ca="1">IFERROR(VLOOKUP($A27,ClassGrupFases!$C$26:$Q$34,9,FALSE),"")</f>
        <v>12</v>
      </c>
      <c r="K27" s="49">
        <f ca="1">IFERROR(VLOOKUP($A27,ClassGrupFases!$C$26:$Q$34,10,FALSE),"")</f>
        <v>12</v>
      </c>
      <c r="L27" s="49">
        <f ca="1">IFERROR(VLOOKUP($A27,ClassGrupFases!$C$26:$Q$34,11,FALSE),"")</f>
        <v>0</v>
      </c>
      <c r="M27" s="41">
        <f ca="1">IFERROR(VLOOKUP($A27,ClassGrupFases!$C$26:$Q$34,1,FALSE),"")</f>
        <v>4</v>
      </c>
    </row>
    <row r="28" spans="1:13" x14ac:dyDescent="0.25">
      <c r="A28" s="37">
        <v>5</v>
      </c>
      <c r="B28" s="46">
        <f ca="1">IFERROR(VLOOKUP($A28,ClassGrupFases!$C$26:$Q$34,15,FALSE),"")</f>
        <v>5</v>
      </c>
      <c r="C28" s="47" t="str">
        <f ca="1">IFERROR(VLOOKUP($A28,ClassGrupFases!$C$26:$Q$34,2,FALSE),"")</f>
        <v>ELCIO(LTVL)</v>
      </c>
      <c r="D28" s="48">
        <f ca="1">IFERROR(VLOOKUP($A28,ClassGrupFases!$C$26:$Q$34,3,FALSE),"")</f>
        <v>0.38095238095238093</v>
      </c>
      <c r="E28" s="49">
        <f ca="1">IFERROR(VLOOKUP($A28,ClassGrupFases!$C$26:$Q$34,4,FALSE),"")</f>
        <v>8</v>
      </c>
      <c r="F28" s="49">
        <f ca="1">IFERROR(VLOOKUP($A28,ClassGrupFases!$C$26:$Q$34,5,FALSE),"")</f>
        <v>7</v>
      </c>
      <c r="G28" s="49">
        <f ca="1">IFERROR(VLOOKUP($A28,ClassGrupFases!$C$26:$Q$34,6,FALSE),"")</f>
        <v>2</v>
      </c>
      <c r="H28" s="49">
        <f ca="1">IFERROR(VLOOKUP($A28,ClassGrupFases!$C$26:$Q$34,7,FALSE),"")</f>
        <v>2</v>
      </c>
      <c r="I28" s="49">
        <f ca="1">IFERROR(VLOOKUP($A28,ClassGrupFases!$C$26:$Q$34,8,FALSE),"")</f>
        <v>3</v>
      </c>
      <c r="J28" s="49">
        <f ca="1">IFERROR(VLOOKUP($A28,ClassGrupFases!$C$26:$Q$34,9,FALSE),"")</f>
        <v>6</v>
      </c>
      <c r="K28" s="49">
        <f ca="1">IFERROR(VLOOKUP($A28,ClassGrupFases!$C$26:$Q$34,10,FALSE),"")</f>
        <v>7</v>
      </c>
      <c r="L28" s="49">
        <f ca="1">IFERROR(VLOOKUP($A28,ClassGrupFases!$C$26:$Q$34,11,FALSE),"")</f>
        <v>-1</v>
      </c>
      <c r="M28" s="41">
        <f ca="1">IFERROR(VLOOKUP($A28,ClassGrupFases!$C$26:$Q$34,1,FALSE),"")</f>
        <v>5</v>
      </c>
    </row>
    <row r="29" spans="1:13" x14ac:dyDescent="0.25">
      <c r="A29" s="37">
        <v>6</v>
      </c>
      <c r="B29" s="46">
        <f ca="1">IFERROR(VLOOKUP($A29,ClassGrupFases!$C$26:$Q$34,15,FALSE),"")</f>
        <v>6</v>
      </c>
      <c r="C29" s="47" t="str">
        <f ca="1">IFERROR(VLOOKUP($A29,ClassGrupFases!$C$26:$Q$34,2,FALSE),"")</f>
        <v>SÉRGIO BARREIRA(SCCP)</v>
      </c>
      <c r="D29" s="48">
        <f ca="1">IFERROR(VLOOKUP($A29,ClassGrupFases!$C$26:$Q$34,3,FALSE),"")</f>
        <v>0.33333333333333331</v>
      </c>
      <c r="E29" s="49">
        <f ca="1">IFERROR(VLOOKUP($A29,ClassGrupFases!$C$26:$Q$34,4,FALSE),"")</f>
        <v>7</v>
      </c>
      <c r="F29" s="49">
        <f ca="1">IFERROR(VLOOKUP($A29,ClassGrupFases!$C$26:$Q$34,5,FALSE),"")</f>
        <v>7</v>
      </c>
      <c r="G29" s="49">
        <f ca="1">IFERROR(VLOOKUP($A29,ClassGrupFases!$C$26:$Q$34,6,FALSE),"")</f>
        <v>2</v>
      </c>
      <c r="H29" s="49">
        <f ca="1">IFERROR(VLOOKUP($A29,ClassGrupFases!$C$26:$Q$34,7,FALSE),"")</f>
        <v>1</v>
      </c>
      <c r="I29" s="49">
        <f ca="1">IFERROR(VLOOKUP($A29,ClassGrupFases!$C$26:$Q$34,8,FALSE),"")</f>
        <v>4</v>
      </c>
      <c r="J29" s="49">
        <f ca="1">IFERROR(VLOOKUP($A29,ClassGrupFases!$C$26:$Q$34,9,FALSE),"")</f>
        <v>6</v>
      </c>
      <c r="K29" s="49">
        <f ca="1">IFERROR(VLOOKUP($A29,ClassGrupFases!$C$26:$Q$34,10,FALSE),"")</f>
        <v>9</v>
      </c>
      <c r="L29" s="49">
        <f ca="1">IFERROR(VLOOKUP($A29,ClassGrupFases!$C$26:$Q$34,11,FALSE),"")</f>
        <v>-3</v>
      </c>
      <c r="M29" s="41">
        <f ca="1">IFERROR(VLOOKUP($A29,ClassGrupFases!$C$26:$Q$34,1,FALSE),"")</f>
        <v>6</v>
      </c>
    </row>
    <row r="30" spans="1:13" x14ac:dyDescent="0.25">
      <c r="A30" s="37">
        <v>7</v>
      </c>
      <c r="B30" s="46">
        <f ca="1">IFERROR(VLOOKUP($A30,ClassGrupFases!$C$26:$Q$34,15,FALSE),"")</f>
        <v>7</v>
      </c>
      <c r="C30" s="47" t="str">
        <f ca="1">IFERROR(VLOOKUP($A30,ClassGrupFases!$C$26:$Q$34,2,FALSE),"")</f>
        <v>AFONSO(CEPE)</v>
      </c>
      <c r="D30" s="48">
        <f ca="1">IFERROR(VLOOKUP($A30,ClassGrupFases!$C$26:$Q$34,3,FALSE),"")</f>
        <v>0.33333333333333331</v>
      </c>
      <c r="E30" s="49">
        <f ca="1">IFERROR(VLOOKUP($A30,ClassGrupFases!$C$26:$Q$34,4,FALSE),"")</f>
        <v>7</v>
      </c>
      <c r="F30" s="49">
        <f ca="1">IFERROR(VLOOKUP($A30,ClassGrupFases!$C$26:$Q$34,5,FALSE),"")</f>
        <v>7</v>
      </c>
      <c r="G30" s="49">
        <f ca="1">IFERROR(VLOOKUP($A30,ClassGrupFases!$C$26:$Q$34,6,FALSE),"")</f>
        <v>2</v>
      </c>
      <c r="H30" s="49">
        <f ca="1">IFERROR(VLOOKUP($A30,ClassGrupFases!$C$26:$Q$34,7,FALSE),"")</f>
        <v>1</v>
      </c>
      <c r="I30" s="49">
        <f ca="1">IFERROR(VLOOKUP($A30,ClassGrupFases!$C$26:$Q$34,8,FALSE),"")</f>
        <v>4</v>
      </c>
      <c r="J30" s="49">
        <f ca="1">IFERROR(VLOOKUP($A30,ClassGrupFases!$C$26:$Q$34,9,FALSE),"")</f>
        <v>6</v>
      </c>
      <c r="K30" s="49">
        <f ca="1">IFERROR(VLOOKUP($A30,ClassGrupFases!$C$26:$Q$34,10,FALSE),"")</f>
        <v>14</v>
      </c>
      <c r="L30" s="49">
        <f ca="1">IFERROR(VLOOKUP($A30,ClassGrupFases!$C$26:$Q$34,11,FALSE),"")</f>
        <v>-8</v>
      </c>
      <c r="M30" s="41">
        <f ca="1">IFERROR(VLOOKUP($A30,ClassGrupFases!$C$26:$Q$34,1,FALSE),"")</f>
        <v>7</v>
      </c>
    </row>
    <row r="31" spans="1:13" x14ac:dyDescent="0.25">
      <c r="A31" s="37">
        <v>8</v>
      </c>
      <c r="B31" s="50">
        <f ca="1">IFERROR(VLOOKUP($A31,ClassGrupFases!$C$26:$Q$34,15,FALSE),"")</f>
        <v>8</v>
      </c>
      <c r="C31" s="51" t="str">
        <f ca="1">IFERROR(VLOOKUP($A31,ClassGrupFases!$C$26:$Q$34,2,FALSE),"")</f>
        <v>MARIELCINHO(LTVL)</v>
      </c>
      <c r="D31" s="52">
        <f ca="1">IFERROR(VLOOKUP($A31,ClassGrupFases!$C$26:$Q$34,3,FALSE),"")</f>
        <v>9.5238095238095233E-2</v>
      </c>
      <c r="E31" s="53">
        <f ca="1">IFERROR(VLOOKUP($A31,ClassGrupFases!$C$26:$Q$34,4,FALSE),"")</f>
        <v>2</v>
      </c>
      <c r="F31" s="53">
        <f ca="1">IFERROR(VLOOKUP($A31,ClassGrupFases!$C$26:$Q$34,5,FALSE),"")</f>
        <v>7</v>
      </c>
      <c r="G31" s="53">
        <f ca="1">IFERROR(VLOOKUP($A31,ClassGrupFases!$C$26:$Q$34,6,FALSE),"")</f>
        <v>0</v>
      </c>
      <c r="H31" s="53">
        <f ca="1">IFERROR(VLOOKUP($A31,ClassGrupFases!$C$26:$Q$34,7,FALSE),"")</f>
        <v>2</v>
      </c>
      <c r="I31" s="53">
        <f ca="1">IFERROR(VLOOKUP($A31,ClassGrupFases!$C$26:$Q$34,8,FALSE),"")</f>
        <v>5</v>
      </c>
      <c r="J31" s="53">
        <f ca="1">IFERROR(VLOOKUP($A31,ClassGrupFases!$C$26:$Q$34,9,FALSE),"")</f>
        <v>4</v>
      </c>
      <c r="K31" s="53">
        <f ca="1">IFERROR(VLOOKUP($A31,ClassGrupFases!$C$26:$Q$34,10,FALSE),"")</f>
        <v>13</v>
      </c>
      <c r="L31" s="53">
        <f ca="1">IFERROR(VLOOKUP($A31,ClassGrupFases!$C$26:$Q$34,11,FALSE),"")</f>
        <v>-9</v>
      </c>
      <c r="M31" s="41">
        <f ca="1">IFERROR(VLOOKUP($A31,ClassGrupFases!$C$26:$Q$34,1,FALSE),"")</f>
        <v>8</v>
      </c>
    </row>
    <row r="33" spans="1:13" x14ac:dyDescent="0.25">
      <c r="B33" s="43" t="s">
        <v>17</v>
      </c>
      <c r="C33" s="44" t="s">
        <v>34</v>
      </c>
      <c r="D33" s="45" t="s">
        <v>35</v>
      </c>
      <c r="E33" s="45" t="s">
        <v>36</v>
      </c>
      <c r="F33" s="45" t="s">
        <v>14</v>
      </c>
      <c r="G33" s="45" t="s">
        <v>15</v>
      </c>
      <c r="H33" s="45" t="s">
        <v>16</v>
      </c>
      <c r="I33" s="45" t="s">
        <v>17</v>
      </c>
      <c r="J33" s="45" t="s">
        <v>37</v>
      </c>
      <c r="K33" s="45" t="s">
        <v>38</v>
      </c>
      <c r="L33" s="45" t="s">
        <v>39</v>
      </c>
    </row>
    <row r="34" spans="1:13" x14ac:dyDescent="0.25">
      <c r="A34" s="37">
        <v>1</v>
      </c>
      <c r="B34" s="46">
        <f ca="1">IFERROR(VLOOKUP($A34,ClassGrupFases!$C$36:$Q$44,15,FALSE),"")</f>
        <v>1</v>
      </c>
      <c r="C34" s="47" t="str">
        <f ca="1">IFERROR(VLOOKUP($A34,ClassGrupFases!$C$36:$Q$44,2,FALSE),"")</f>
        <v>PABLO MARTINS(SPFC)</v>
      </c>
      <c r="D34" s="48">
        <f ca="1">IFERROR(VLOOKUP($A34,ClassGrupFases!$C$36:$Q$44,3,FALSE),"")</f>
        <v>0.90476190476190477</v>
      </c>
      <c r="E34" s="49">
        <f ca="1">IFERROR(VLOOKUP($A34,ClassGrupFases!$C$36:$Q$44,4,FALSE),"")</f>
        <v>19</v>
      </c>
      <c r="F34" s="49">
        <f ca="1">IFERROR(VLOOKUP($A34,ClassGrupFases!$C$36:$Q$44,5,FALSE),"")</f>
        <v>7</v>
      </c>
      <c r="G34" s="49">
        <f ca="1">IFERROR(VLOOKUP($A34,ClassGrupFases!$C$36:$Q$44,6,FALSE),"")</f>
        <v>6</v>
      </c>
      <c r="H34" s="49">
        <f ca="1">IFERROR(VLOOKUP($A34,ClassGrupFases!$C$36:$Q$44,7,FALSE),"")</f>
        <v>1</v>
      </c>
      <c r="I34" s="49">
        <f ca="1">IFERROR(VLOOKUP($A34,ClassGrupFases!$C$36:$Q$44,8,FALSE),"")</f>
        <v>0</v>
      </c>
      <c r="J34" s="49">
        <f ca="1">IFERROR(VLOOKUP($A34,ClassGrupFases!$C$36:$Q$44,9,FALSE),"")</f>
        <v>26</v>
      </c>
      <c r="K34" s="49">
        <f ca="1">IFERROR(VLOOKUP($A34,ClassGrupFases!$C$36:$Q$44,10,FALSE),"")</f>
        <v>10</v>
      </c>
      <c r="L34" s="49">
        <f ca="1">IFERROR(VLOOKUP($A34,ClassGrupFases!$C$36:$Q$44,11,FALSE),"")</f>
        <v>16</v>
      </c>
      <c r="M34" s="41">
        <f ca="1">IFERROR(VLOOKUP($A34,ClassGrupFases!$C$36:$Q$44,1,FALSE),"")</f>
        <v>1</v>
      </c>
    </row>
    <row r="35" spans="1:13" x14ac:dyDescent="0.25">
      <c r="A35" s="37">
        <v>2</v>
      </c>
      <c r="B35" s="46">
        <f ca="1">IFERROR(VLOOKUP($A35,ClassGrupFases!$C$36:$Q$44,15,FALSE),"")</f>
        <v>2</v>
      </c>
      <c r="C35" s="47" t="str">
        <f ca="1">IFERROR(VLOOKUP($A35,ClassGrupFases!$C$36:$Q$44,2,FALSE),"")</f>
        <v>GALDEANO(SCCP)</v>
      </c>
      <c r="D35" s="48">
        <f ca="1">IFERROR(VLOOKUP($A35,ClassGrupFases!$C$36:$Q$44,3,FALSE),"")</f>
        <v>0.8571428571428571</v>
      </c>
      <c r="E35" s="49">
        <f ca="1">IFERROR(VLOOKUP($A35,ClassGrupFases!$C$36:$Q$44,4,FALSE),"")</f>
        <v>18</v>
      </c>
      <c r="F35" s="49">
        <f ca="1">IFERROR(VLOOKUP($A35,ClassGrupFases!$C$36:$Q$44,5,FALSE),"")</f>
        <v>7</v>
      </c>
      <c r="G35" s="49">
        <f ca="1">IFERROR(VLOOKUP($A35,ClassGrupFases!$C$36:$Q$44,6,FALSE),"")</f>
        <v>6</v>
      </c>
      <c r="H35" s="49">
        <f ca="1">IFERROR(VLOOKUP($A35,ClassGrupFases!$C$36:$Q$44,7,FALSE),"")</f>
        <v>0</v>
      </c>
      <c r="I35" s="49">
        <f ca="1">IFERROR(VLOOKUP($A35,ClassGrupFases!$C$36:$Q$44,8,FALSE),"")</f>
        <v>1</v>
      </c>
      <c r="J35" s="49">
        <f ca="1">IFERROR(VLOOKUP($A35,ClassGrupFases!$C$36:$Q$44,9,FALSE),"")</f>
        <v>22</v>
      </c>
      <c r="K35" s="49">
        <f ca="1">IFERROR(VLOOKUP($A35,ClassGrupFases!$C$36:$Q$44,10,FALSE),"")</f>
        <v>10</v>
      </c>
      <c r="L35" s="49">
        <f ca="1">IFERROR(VLOOKUP($A35,ClassGrupFases!$C$36:$Q$44,11,FALSE),"")</f>
        <v>12</v>
      </c>
      <c r="M35" s="41">
        <f ca="1">IFERROR(VLOOKUP($A35,ClassGrupFases!$C$36:$Q$44,1,FALSE),"")</f>
        <v>2</v>
      </c>
    </row>
    <row r="36" spans="1:13" x14ac:dyDescent="0.25">
      <c r="A36" s="37">
        <v>3</v>
      </c>
      <c r="B36" s="46">
        <f ca="1">IFERROR(VLOOKUP($A36,ClassGrupFases!$C$36:$Q$44,15,FALSE),"")</f>
        <v>3</v>
      </c>
      <c r="C36" s="47" t="str">
        <f ca="1">IFERROR(VLOOKUP($A36,ClassGrupFases!$C$36:$Q$44,2,FALSE),"")</f>
        <v>RAFAEL BALIEIRO(LTVL)</v>
      </c>
      <c r="D36" s="48">
        <f ca="1">IFERROR(VLOOKUP($A36,ClassGrupFases!$C$36:$Q$44,3,FALSE),"")</f>
        <v>0.52380952380952384</v>
      </c>
      <c r="E36" s="49">
        <f ca="1">IFERROR(VLOOKUP($A36,ClassGrupFases!$C$36:$Q$44,4,FALSE),"")</f>
        <v>11</v>
      </c>
      <c r="F36" s="49">
        <f ca="1">IFERROR(VLOOKUP($A36,ClassGrupFases!$C$36:$Q$44,5,FALSE),"")</f>
        <v>7</v>
      </c>
      <c r="G36" s="49">
        <f ca="1">IFERROR(VLOOKUP($A36,ClassGrupFases!$C$36:$Q$44,6,FALSE),"")</f>
        <v>3</v>
      </c>
      <c r="H36" s="49">
        <f ca="1">IFERROR(VLOOKUP($A36,ClassGrupFases!$C$36:$Q$44,7,FALSE),"")</f>
        <v>2</v>
      </c>
      <c r="I36" s="49">
        <f ca="1">IFERROR(VLOOKUP($A36,ClassGrupFases!$C$36:$Q$44,8,FALSE),"")</f>
        <v>2</v>
      </c>
      <c r="J36" s="49">
        <f ca="1">IFERROR(VLOOKUP($A36,ClassGrupFases!$C$36:$Q$44,9,FALSE),"")</f>
        <v>12</v>
      </c>
      <c r="K36" s="49">
        <f ca="1">IFERROR(VLOOKUP($A36,ClassGrupFases!$C$36:$Q$44,10,FALSE),"")</f>
        <v>12</v>
      </c>
      <c r="L36" s="49">
        <f ca="1">IFERROR(VLOOKUP($A36,ClassGrupFases!$C$36:$Q$44,11,FALSE),"")</f>
        <v>0</v>
      </c>
      <c r="M36" s="41">
        <f ca="1">IFERROR(VLOOKUP($A36,ClassGrupFases!$C$36:$Q$44,1,FALSE),"")</f>
        <v>3</v>
      </c>
    </row>
    <row r="37" spans="1:13" x14ac:dyDescent="0.25">
      <c r="A37" s="37">
        <v>4</v>
      </c>
      <c r="B37" s="46">
        <f ca="1">IFERROR(VLOOKUP($A37,ClassGrupFases!$C$36:$Q$44,15,FALSE),"")</f>
        <v>4</v>
      </c>
      <c r="C37" s="47" t="str">
        <f ca="1">IFERROR(VLOOKUP($A37,ClassGrupFases!$C$36:$Q$44,2,FALSE),"")</f>
        <v>MARCÃO SILVA(SPFC)</v>
      </c>
      <c r="D37" s="48">
        <f ca="1">IFERROR(VLOOKUP($A37,ClassGrupFases!$C$36:$Q$44,3,FALSE),"")</f>
        <v>0.38095238095238093</v>
      </c>
      <c r="E37" s="49">
        <f ca="1">IFERROR(VLOOKUP($A37,ClassGrupFases!$C$36:$Q$44,4,FALSE),"")</f>
        <v>8</v>
      </c>
      <c r="F37" s="49">
        <f ca="1">IFERROR(VLOOKUP($A37,ClassGrupFases!$C$36:$Q$44,5,FALSE),"")</f>
        <v>7</v>
      </c>
      <c r="G37" s="49">
        <f ca="1">IFERROR(VLOOKUP($A37,ClassGrupFases!$C$36:$Q$44,6,FALSE),"")</f>
        <v>2</v>
      </c>
      <c r="H37" s="49">
        <f ca="1">IFERROR(VLOOKUP($A37,ClassGrupFases!$C$36:$Q$44,7,FALSE),"")</f>
        <v>2</v>
      </c>
      <c r="I37" s="49">
        <f ca="1">IFERROR(VLOOKUP($A37,ClassGrupFases!$C$36:$Q$44,8,FALSE),"")</f>
        <v>3</v>
      </c>
      <c r="J37" s="49">
        <f ca="1">IFERROR(VLOOKUP($A37,ClassGrupFases!$C$36:$Q$44,9,FALSE),"")</f>
        <v>14</v>
      </c>
      <c r="K37" s="49">
        <f ca="1">IFERROR(VLOOKUP($A37,ClassGrupFases!$C$36:$Q$44,10,FALSE),"")</f>
        <v>15</v>
      </c>
      <c r="L37" s="49">
        <f ca="1">IFERROR(VLOOKUP($A37,ClassGrupFases!$C$36:$Q$44,11,FALSE),"")</f>
        <v>-1</v>
      </c>
      <c r="M37" s="41">
        <f ca="1">IFERROR(VLOOKUP($A37,ClassGrupFases!$C$36:$Q$44,1,FALSE),"")</f>
        <v>4</v>
      </c>
    </row>
    <row r="38" spans="1:13" x14ac:dyDescent="0.25">
      <c r="A38" s="37">
        <v>5</v>
      </c>
      <c r="B38" s="46">
        <f ca="1">IFERROR(VLOOKUP($A38,ClassGrupFases!$C$36:$Q$44,15,FALSE),"")</f>
        <v>5</v>
      </c>
      <c r="C38" s="47" t="str">
        <f ca="1">IFERROR(VLOOKUP($A38,ClassGrupFases!$C$36:$Q$44,2,FALSE),"")</f>
        <v>GUANABARA(LTVL)</v>
      </c>
      <c r="D38" s="48">
        <f ca="1">IFERROR(VLOOKUP($A38,ClassGrupFases!$C$36:$Q$44,3,FALSE),"")</f>
        <v>0.33333333333333331</v>
      </c>
      <c r="E38" s="49">
        <f ca="1">IFERROR(VLOOKUP($A38,ClassGrupFases!$C$36:$Q$44,4,FALSE),"")</f>
        <v>7</v>
      </c>
      <c r="F38" s="49">
        <f ca="1">IFERROR(VLOOKUP($A38,ClassGrupFases!$C$36:$Q$44,5,FALSE),"")</f>
        <v>7</v>
      </c>
      <c r="G38" s="49">
        <f ca="1">IFERROR(VLOOKUP($A38,ClassGrupFases!$C$36:$Q$44,6,FALSE),"")</f>
        <v>2</v>
      </c>
      <c r="H38" s="49">
        <f ca="1">IFERROR(VLOOKUP($A38,ClassGrupFases!$C$36:$Q$44,7,FALSE),"")</f>
        <v>1</v>
      </c>
      <c r="I38" s="49">
        <f ca="1">IFERROR(VLOOKUP($A38,ClassGrupFases!$C$36:$Q$44,8,FALSE),"")</f>
        <v>4</v>
      </c>
      <c r="J38" s="49">
        <f ca="1">IFERROR(VLOOKUP($A38,ClassGrupFases!$C$36:$Q$44,9,FALSE),"")</f>
        <v>10</v>
      </c>
      <c r="K38" s="49">
        <f ca="1">IFERROR(VLOOKUP($A38,ClassGrupFases!$C$36:$Q$44,10,FALSE),"")</f>
        <v>20</v>
      </c>
      <c r="L38" s="49">
        <f ca="1">IFERROR(VLOOKUP($A38,ClassGrupFases!$C$36:$Q$44,11,FALSE),"")</f>
        <v>-10</v>
      </c>
      <c r="M38" s="41">
        <f ca="1">IFERROR(VLOOKUP($A38,ClassGrupFases!$C$36:$Q$44,1,FALSE),"")</f>
        <v>5</v>
      </c>
    </row>
    <row r="39" spans="1:13" x14ac:dyDescent="0.25">
      <c r="A39" s="37">
        <v>6</v>
      </c>
      <c r="B39" s="46">
        <f ca="1">IFERROR(VLOOKUP($A39,ClassGrupFases!$C$36:$Q$44,15,FALSE),"")</f>
        <v>6</v>
      </c>
      <c r="C39" s="47" t="str">
        <f ca="1">IFERROR(VLOOKUP($A39,ClassGrupFases!$C$36:$Q$44,2,FALSE),"")</f>
        <v>BERGAMINI(MZ)</v>
      </c>
      <c r="D39" s="48">
        <f ca="1">IFERROR(VLOOKUP($A39,ClassGrupFases!$C$36:$Q$44,3,FALSE),"")</f>
        <v>0.2857142857142857</v>
      </c>
      <c r="E39" s="49">
        <f ca="1">IFERROR(VLOOKUP($A39,ClassGrupFases!$C$36:$Q$44,4,FALSE),"")</f>
        <v>6</v>
      </c>
      <c r="F39" s="49">
        <f ca="1">IFERROR(VLOOKUP($A39,ClassGrupFases!$C$36:$Q$44,5,FALSE),"")</f>
        <v>7</v>
      </c>
      <c r="G39" s="49">
        <f ca="1">IFERROR(VLOOKUP($A39,ClassGrupFases!$C$36:$Q$44,6,FALSE),"")</f>
        <v>1</v>
      </c>
      <c r="H39" s="49">
        <f ca="1">IFERROR(VLOOKUP($A39,ClassGrupFases!$C$36:$Q$44,7,FALSE),"")</f>
        <v>3</v>
      </c>
      <c r="I39" s="49">
        <f ca="1">IFERROR(VLOOKUP($A39,ClassGrupFases!$C$36:$Q$44,8,FALSE),"")</f>
        <v>3</v>
      </c>
      <c r="J39" s="49">
        <f ca="1">IFERROR(VLOOKUP($A39,ClassGrupFases!$C$36:$Q$44,9,FALSE),"")</f>
        <v>11</v>
      </c>
      <c r="K39" s="49">
        <f ca="1">IFERROR(VLOOKUP($A39,ClassGrupFases!$C$36:$Q$44,10,FALSE),"")</f>
        <v>17</v>
      </c>
      <c r="L39" s="49">
        <f ca="1">IFERROR(VLOOKUP($A39,ClassGrupFases!$C$36:$Q$44,11,FALSE),"")</f>
        <v>-6</v>
      </c>
      <c r="M39" s="41">
        <f ca="1">IFERROR(VLOOKUP($A39,ClassGrupFases!$C$36:$Q$44,1,FALSE),"")</f>
        <v>6</v>
      </c>
    </row>
    <row r="40" spans="1:13" x14ac:dyDescent="0.25">
      <c r="A40" s="37">
        <v>7</v>
      </c>
      <c r="B40" s="46">
        <f ca="1">IFERROR(VLOOKUP($A40,ClassGrupFases!$C$36:$Q$44,15,FALSE),"")</f>
        <v>7</v>
      </c>
      <c r="C40" s="47" t="str">
        <f ca="1">IFERROR(VLOOKUP($A40,ClassGrupFases!$C$36:$Q$44,2,FALSE),"")</f>
        <v>CHARLEAUX(CEPE)</v>
      </c>
      <c r="D40" s="48">
        <f ca="1">IFERROR(VLOOKUP($A40,ClassGrupFases!$C$36:$Q$44,3,FALSE),"")</f>
        <v>0.23809523809523808</v>
      </c>
      <c r="E40" s="49">
        <f ca="1">IFERROR(VLOOKUP($A40,ClassGrupFases!$C$36:$Q$44,4,FALSE),"")</f>
        <v>5</v>
      </c>
      <c r="F40" s="49">
        <f ca="1">IFERROR(VLOOKUP($A40,ClassGrupFases!$C$36:$Q$44,5,FALSE),"")</f>
        <v>7</v>
      </c>
      <c r="G40" s="49">
        <f ca="1">IFERROR(VLOOKUP($A40,ClassGrupFases!$C$36:$Q$44,6,FALSE),"")</f>
        <v>1</v>
      </c>
      <c r="H40" s="49">
        <f ca="1">IFERROR(VLOOKUP($A40,ClassGrupFases!$C$36:$Q$44,7,FALSE),"")</f>
        <v>2</v>
      </c>
      <c r="I40" s="49">
        <f ca="1">IFERROR(VLOOKUP($A40,ClassGrupFases!$C$36:$Q$44,8,FALSE),"")</f>
        <v>4</v>
      </c>
      <c r="J40" s="49">
        <f ca="1">IFERROR(VLOOKUP($A40,ClassGrupFases!$C$36:$Q$44,9,FALSE),"")</f>
        <v>8</v>
      </c>
      <c r="K40" s="49">
        <f ca="1">IFERROR(VLOOKUP($A40,ClassGrupFases!$C$36:$Q$44,10,FALSE),"")</f>
        <v>14</v>
      </c>
      <c r="L40" s="49">
        <f ca="1">IFERROR(VLOOKUP($A40,ClassGrupFases!$C$36:$Q$44,11,FALSE),"")</f>
        <v>-6</v>
      </c>
      <c r="M40" s="41">
        <f ca="1">IFERROR(VLOOKUP($A40,ClassGrupFases!$C$36:$Q$44,1,FALSE),"")</f>
        <v>7</v>
      </c>
    </row>
    <row r="41" spans="1:13" x14ac:dyDescent="0.25">
      <c r="A41" s="37">
        <v>8</v>
      </c>
      <c r="B41" s="50">
        <f ca="1">IFERROR(VLOOKUP($A41,ClassGrupFases!$C$36:$Q$44,15,FALSE),"")</f>
        <v>8</v>
      </c>
      <c r="C41" s="51" t="str">
        <f ca="1">IFERROR(VLOOKUP($A41,ClassGrupFases!$C$36:$Q$44,2,FALSE),"")</f>
        <v>DJ IURY(BF)</v>
      </c>
      <c r="D41" s="52">
        <f ca="1">IFERROR(VLOOKUP($A41,ClassGrupFases!$C$36:$Q$44,3,FALSE),"")</f>
        <v>0.19047619047619047</v>
      </c>
      <c r="E41" s="53">
        <f ca="1">IFERROR(VLOOKUP($A41,ClassGrupFases!$C$36:$Q$44,4,FALSE),"")</f>
        <v>4</v>
      </c>
      <c r="F41" s="53">
        <f ca="1">IFERROR(VLOOKUP($A41,ClassGrupFases!$C$36:$Q$44,5,FALSE),"")</f>
        <v>7</v>
      </c>
      <c r="G41" s="53">
        <f ca="1">IFERROR(VLOOKUP($A41,ClassGrupFases!$C$36:$Q$44,6,FALSE),"")</f>
        <v>1</v>
      </c>
      <c r="H41" s="53">
        <f ca="1">IFERROR(VLOOKUP($A41,ClassGrupFases!$C$36:$Q$44,7,FALSE),"")</f>
        <v>1</v>
      </c>
      <c r="I41" s="53">
        <f ca="1">IFERROR(VLOOKUP($A41,ClassGrupFases!$C$36:$Q$44,8,FALSE),"")</f>
        <v>5</v>
      </c>
      <c r="J41" s="53">
        <f ca="1">IFERROR(VLOOKUP($A41,ClassGrupFases!$C$36:$Q$44,9,FALSE),"")</f>
        <v>8</v>
      </c>
      <c r="K41" s="53">
        <f ca="1">IFERROR(VLOOKUP($A41,ClassGrupFases!$C$36:$Q$44,10,FALSE),"")</f>
        <v>13</v>
      </c>
      <c r="L41" s="53">
        <f ca="1">IFERROR(VLOOKUP($A41,ClassGrupFases!$C$36:$Q$44,11,FALSE),"")</f>
        <v>-5</v>
      </c>
      <c r="M41" s="41">
        <f ca="1">IFERROR(VLOOKUP($A41,ClassGrupFases!$C$36:$Q$44,1,FALSE),"")</f>
        <v>8</v>
      </c>
    </row>
    <row r="43" spans="1:13" x14ac:dyDescent="0.25">
      <c r="B43" s="43" t="s">
        <v>16</v>
      </c>
      <c r="C43" s="44" t="s">
        <v>34</v>
      </c>
      <c r="D43" s="45" t="s">
        <v>35</v>
      </c>
      <c r="E43" s="45" t="s">
        <v>36</v>
      </c>
      <c r="F43" s="45" t="s">
        <v>14</v>
      </c>
      <c r="G43" s="45" t="s">
        <v>15</v>
      </c>
      <c r="H43" s="45" t="s">
        <v>16</v>
      </c>
      <c r="I43" s="45" t="s">
        <v>17</v>
      </c>
      <c r="J43" s="45" t="s">
        <v>37</v>
      </c>
      <c r="K43" s="45" t="s">
        <v>38</v>
      </c>
      <c r="L43" s="45" t="s">
        <v>39</v>
      </c>
    </row>
    <row r="44" spans="1:13" x14ac:dyDescent="0.25">
      <c r="A44" s="37">
        <v>1</v>
      </c>
      <c r="B44" s="46">
        <f ca="1">IFERROR(VLOOKUP($A44,ClassGrupFases!$C$46:$Q$54,15,FALSE),"")</f>
        <v>1</v>
      </c>
      <c r="C44" s="47" t="str">
        <f ca="1">IFERROR(VLOOKUP($A44,ClassGrupFases!$C$46:$Q$54,2,FALSE),"")</f>
        <v>PAULO ROBERTO(SPFC)</v>
      </c>
      <c r="D44" s="48">
        <f ca="1">IFERROR(VLOOKUP($A44,ClassGrupFases!$C$46:$Q$54,3,FALSE),"")</f>
        <v>0.7142857142857143</v>
      </c>
      <c r="E44" s="49">
        <f ca="1">IFERROR(VLOOKUP($A44,ClassGrupFases!$C$46:$Q$54,4,FALSE),"")</f>
        <v>15</v>
      </c>
      <c r="F44" s="49">
        <f ca="1">IFERROR(VLOOKUP($A44,ClassGrupFases!$C$46:$Q$54,5,FALSE),"")</f>
        <v>7</v>
      </c>
      <c r="G44" s="49">
        <f ca="1">IFERROR(VLOOKUP($A44,ClassGrupFases!$C$46:$Q$54,6,FALSE),"")</f>
        <v>4</v>
      </c>
      <c r="H44" s="49">
        <f ca="1">IFERROR(VLOOKUP($A44,ClassGrupFases!$C$46:$Q$54,7,FALSE),"")</f>
        <v>3</v>
      </c>
      <c r="I44" s="49">
        <f ca="1">IFERROR(VLOOKUP($A44,ClassGrupFases!$C$46:$Q$54,8,FALSE),"")</f>
        <v>0</v>
      </c>
      <c r="J44" s="49">
        <f ca="1">IFERROR(VLOOKUP($A44,ClassGrupFases!$C$46:$Q$54,9,FALSE),"")</f>
        <v>12</v>
      </c>
      <c r="K44" s="49">
        <f ca="1">IFERROR(VLOOKUP($A44,ClassGrupFases!$C$46:$Q$54,10,FALSE),"")</f>
        <v>5</v>
      </c>
      <c r="L44" s="49">
        <f ca="1">IFERROR(VLOOKUP($A44,ClassGrupFases!$C$46:$Q$54,11,FALSE),"")</f>
        <v>7</v>
      </c>
      <c r="M44" s="41">
        <f ca="1">IFERROR(VLOOKUP($A44,ClassGrupFases!$C$46:$Q$54,1,FALSE),"")</f>
        <v>1</v>
      </c>
    </row>
    <row r="45" spans="1:13" x14ac:dyDescent="0.25">
      <c r="A45" s="37">
        <v>2</v>
      </c>
      <c r="B45" s="46">
        <f ca="1">IFERROR(VLOOKUP($A45,ClassGrupFases!$C$46:$Q$54,15,FALSE),"")</f>
        <v>2</v>
      </c>
      <c r="C45" s="47" t="str">
        <f ca="1">IFERROR(VLOOKUP($A45,ClassGrupFases!$C$46:$Q$54,2,FALSE),"")</f>
        <v>RODRIGO MORO(SCCP)</v>
      </c>
      <c r="D45" s="48">
        <f ca="1">IFERROR(VLOOKUP($A45,ClassGrupFases!$C$46:$Q$54,3,FALSE),"")</f>
        <v>0.52380952380952384</v>
      </c>
      <c r="E45" s="49">
        <f ca="1">IFERROR(VLOOKUP($A45,ClassGrupFases!$C$46:$Q$54,4,FALSE),"")</f>
        <v>11</v>
      </c>
      <c r="F45" s="49">
        <f ca="1">IFERROR(VLOOKUP($A45,ClassGrupFases!$C$46:$Q$54,5,FALSE),"")</f>
        <v>7</v>
      </c>
      <c r="G45" s="49">
        <f ca="1">IFERROR(VLOOKUP($A45,ClassGrupFases!$C$46:$Q$54,6,FALSE),"")</f>
        <v>3</v>
      </c>
      <c r="H45" s="49">
        <f ca="1">IFERROR(VLOOKUP($A45,ClassGrupFases!$C$46:$Q$54,7,FALSE),"")</f>
        <v>2</v>
      </c>
      <c r="I45" s="49">
        <f ca="1">IFERROR(VLOOKUP($A45,ClassGrupFases!$C$46:$Q$54,8,FALSE),"")</f>
        <v>2</v>
      </c>
      <c r="J45" s="49">
        <f ca="1">IFERROR(VLOOKUP($A45,ClassGrupFases!$C$46:$Q$54,9,FALSE),"")</f>
        <v>12</v>
      </c>
      <c r="K45" s="49">
        <f ca="1">IFERROR(VLOOKUP($A45,ClassGrupFases!$C$46:$Q$54,10,FALSE),"")</f>
        <v>14</v>
      </c>
      <c r="L45" s="49">
        <f ca="1">IFERROR(VLOOKUP($A45,ClassGrupFases!$C$46:$Q$54,11,FALSE),"")</f>
        <v>-2</v>
      </c>
      <c r="M45" s="41">
        <f ca="1">IFERROR(VLOOKUP($A45,ClassGrupFases!$C$46:$Q$54,1,FALSE),"")</f>
        <v>2</v>
      </c>
    </row>
    <row r="46" spans="1:13" x14ac:dyDescent="0.25">
      <c r="A46" s="37">
        <v>3</v>
      </c>
      <c r="B46" s="46">
        <f ca="1">IFERROR(VLOOKUP($A46,ClassGrupFases!$C$46:$Q$54,15,FALSE),"")</f>
        <v>3</v>
      </c>
      <c r="C46" s="47" t="str">
        <f ca="1">IFERROR(VLOOKUP($A46,ClassGrupFases!$C$46:$Q$54,2,FALSE),"")</f>
        <v>PEPE 2004(CEPE)</v>
      </c>
      <c r="D46" s="48">
        <f ca="1">IFERROR(VLOOKUP($A46,ClassGrupFases!$C$46:$Q$54,3,FALSE),"")</f>
        <v>0.47619047619047616</v>
      </c>
      <c r="E46" s="49">
        <f ca="1">IFERROR(VLOOKUP($A46,ClassGrupFases!$C$46:$Q$54,4,FALSE),"")</f>
        <v>10</v>
      </c>
      <c r="F46" s="49">
        <f ca="1">IFERROR(VLOOKUP($A46,ClassGrupFases!$C$46:$Q$54,5,FALSE),"")</f>
        <v>7</v>
      </c>
      <c r="G46" s="49">
        <f ca="1">IFERROR(VLOOKUP($A46,ClassGrupFases!$C$46:$Q$54,6,FALSE),"")</f>
        <v>3</v>
      </c>
      <c r="H46" s="49">
        <f ca="1">IFERROR(VLOOKUP($A46,ClassGrupFases!$C$46:$Q$54,7,FALSE),"")</f>
        <v>1</v>
      </c>
      <c r="I46" s="49">
        <f ca="1">IFERROR(VLOOKUP($A46,ClassGrupFases!$C$46:$Q$54,8,FALSE),"")</f>
        <v>3</v>
      </c>
      <c r="J46" s="49">
        <f ca="1">IFERROR(VLOOKUP($A46,ClassGrupFases!$C$46:$Q$54,9,FALSE),"")</f>
        <v>10</v>
      </c>
      <c r="K46" s="49">
        <f ca="1">IFERROR(VLOOKUP($A46,ClassGrupFases!$C$46:$Q$54,10,FALSE),"")</f>
        <v>12</v>
      </c>
      <c r="L46" s="49">
        <f ca="1">IFERROR(VLOOKUP($A46,ClassGrupFases!$C$46:$Q$54,11,FALSE),"")</f>
        <v>-2</v>
      </c>
      <c r="M46" s="41">
        <f ca="1">IFERROR(VLOOKUP($A46,ClassGrupFases!$C$46:$Q$54,1,FALSE),"")</f>
        <v>3</v>
      </c>
    </row>
    <row r="47" spans="1:13" x14ac:dyDescent="0.25">
      <c r="A47" s="37">
        <v>4</v>
      </c>
      <c r="B47" s="46">
        <f ca="1">IFERROR(VLOOKUP($A47,ClassGrupFases!$C$46:$Q$54,15,FALSE),"")</f>
        <v>4</v>
      </c>
      <c r="C47" s="47" t="str">
        <f ca="1">IFERROR(VLOOKUP($A47,ClassGrupFases!$C$46:$Q$54,2,FALSE),"")</f>
        <v>ZÉ LUIZ(SPFC)</v>
      </c>
      <c r="D47" s="48">
        <f ca="1">IFERROR(VLOOKUP($A47,ClassGrupFases!$C$46:$Q$54,3,FALSE),"")</f>
        <v>0.42857142857142855</v>
      </c>
      <c r="E47" s="49">
        <f ca="1">IFERROR(VLOOKUP($A47,ClassGrupFases!$C$46:$Q$54,4,FALSE),"")</f>
        <v>9</v>
      </c>
      <c r="F47" s="49">
        <f ca="1">IFERROR(VLOOKUP($A47,ClassGrupFases!$C$46:$Q$54,5,FALSE),"")</f>
        <v>7</v>
      </c>
      <c r="G47" s="49">
        <f ca="1">IFERROR(VLOOKUP($A47,ClassGrupFases!$C$46:$Q$54,6,FALSE),"")</f>
        <v>2</v>
      </c>
      <c r="H47" s="49">
        <f ca="1">IFERROR(VLOOKUP($A47,ClassGrupFases!$C$46:$Q$54,7,FALSE),"")</f>
        <v>3</v>
      </c>
      <c r="I47" s="49">
        <f ca="1">IFERROR(VLOOKUP($A47,ClassGrupFases!$C$46:$Q$54,8,FALSE),"")</f>
        <v>2</v>
      </c>
      <c r="J47" s="49">
        <f ca="1">IFERROR(VLOOKUP($A47,ClassGrupFases!$C$46:$Q$54,9,FALSE),"")</f>
        <v>11</v>
      </c>
      <c r="K47" s="49">
        <f ca="1">IFERROR(VLOOKUP($A47,ClassGrupFases!$C$46:$Q$54,10,FALSE),"")</f>
        <v>10</v>
      </c>
      <c r="L47" s="49">
        <f ca="1">IFERROR(VLOOKUP($A47,ClassGrupFases!$C$46:$Q$54,11,FALSE),"")</f>
        <v>1</v>
      </c>
      <c r="M47" s="41">
        <f ca="1">IFERROR(VLOOKUP($A47,ClassGrupFases!$C$46:$Q$54,1,FALSE),"")</f>
        <v>4</v>
      </c>
    </row>
    <row r="48" spans="1:13" x14ac:dyDescent="0.25">
      <c r="A48" s="37">
        <v>5</v>
      </c>
      <c r="B48" s="46">
        <f ca="1">IFERROR(VLOOKUP($A48,ClassGrupFases!$C$46:$Q$54,15,FALSE),"")</f>
        <v>5</v>
      </c>
      <c r="C48" s="47" t="str">
        <f ca="1">IFERROR(VLOOKUP($A48,ClassGrupFases!$C$46:$Q$54,2,FALSE),"")</f>
        <v>TUPINAMBÁ(LTVL)</v>
      </c>
      <c r="D48" s="48">
        <f ca="1">IFERROR(VLOOKUP($A48,ClassGrupFases!$C$46:$Q$54,3,FALSE),"")</f>
        <v>0.42857142857142855</v>
      </c>
      <c r="E48" s="49">
        <f ca="1">IFERROR(VLOOKUP($A48,ClassGrupFases!$C$46:$Q$54,4,FALSE),"")</f>
        <v>9</v>
      </c>
      <c r="F48" s="49">
        <f ca="1">IFERROR(VLOOKUP($A48,ClassGrupFases!$C$46:$Q$54,5,FALSE),"")</f>
        <v>7</v>
      </c>
      <c r="G48" s="49">
        <f ca="1">IFERROR(VLOOKUP($A48,ClassGrupFases!$C$46:$Q$54,6,FALSE),"")</f>
        <v>2</v>
      </c>
      <c r="H48" s="49">
        <f ca="1">IFERROR(VLOOKUP($A48,ClassGrupFases!$C$46:$Q$54,7,FALSE),"")</f>
        <v>3</v>
      </c>
      <c r="I48" s="49">
        <f ca="1">IFERROR(VLOOKUP($A48,ClassGrupFases!$C$46:$Q$54,8,FALSE),"")</f>
        <v>2</v>
      </c>
      <c r="J48" s="49">
        <f ca="1">IFERROR(VLOOKUP($A48,ClassGrupFases!$C$46:$Q$54,9,FALSE),"")</f>
        <v>11</v>
      </c>
      <c r="K48" s="49">
        <f ca="1">IFERROR(VLOOKUP($A48,ClassGrupFases!$C$46:$Q$54,10,FALSE),"")</f>
        <v>11</v>
      </c>
      <c r="L48" s="49">
        <f ca="1">IFERROR(VLOOKUP($A48,ClassGrupFases!$C$46:$Q$54,11,FALSE),"")</f>
        <v>0</v>
      </c>
      <c r="M48" s="41">
        <f ca="1">IFERROR(VLOOKUP($A48,ClassGrupFases!$C$46:$Q$54,1,FALSE),"")</f>
        <v>5</v>
      </c>
    </row>
    <row r="49" spans="1:13" x14ac:dyDescent="0.25">
      <c r="A49" s="37">
        <v>6</v>
      </c>
      <c r="B49" s="46">
        <f ca="1">IFERROR(VLOOKUP($A49,ClassGrupFases!$C$46:$Q$54,15,FALSE),"")</f>
        <v>6</v>
      </c>
      <c r="C49" s="47" t="str">
        <f ca="1">IFERROR(VLOOKUP($A49,ClassGrupFases!$C$46:$Q$54,2,FALSE),"")</f>
        <v>BRAGHETTO(MZ)</v>
      </c>
      <c r="D49" s="48">
        <f ca="1">IFERROR(VLOOKUP($A49,ClassGrupFases!$C$46:$Q$54,3,FALSE),"")</f>
        <v>0.38095238095238093</v>
      </c>
      <c r="E49" s="49">
        <f ca="1">IFERROR(VLOOKUP($A49,ClassGrupFases!$C$46:$Q$54,4,FALSE),"")</f>
        <v>8</v>
      </c>
      <c r="F49" s="49">
        <f ca="1">IFERROR(VLOOKUP($A49,ClassGrupFases!$C$46:$Q$54,5,FALSE),"")</f>
        <v>7</v>
      </c>
      <c r="G49" s="49">
        <f ca="1">IFERROR(VLOOKUP($A49,ClassGrupFases!$C$46:$Q$54,6,FALSE),"")</f>
        <v>2</v>
      </c>
      <c r="H49" s="49">
        <f ca="1">IFERROR(VLOOKUP($A49,ClassGrupFases!$C$46:$Q$54,7,FALSE),"")</f>
        <v>2</v>
      </c>
      <c r="I49" s="49">
        <f ca="1">IFERROR(VLOOKUP($A49,ClassGrupFases!$C$46:$Q$54,8,FALSE),"")</f>
        <v>3</v>
      </c>
      <c r="J49" s="49">
        <f ca="1">IFERROR(VLOOKUP($A49,ClassGrupFases!$C$46:$Q$54,9,FALSE),"")</f>
        <v>11</v>
      </c>
      <c r="K49" s="49">
        <f ca="1">IFERROR(VLOOKUP($A49,ClassGrupFases!$C$46:$Q$54,10,FALSE),"")</f>
        <v>11</v>
      </c>
      <c r="L49" s="49">
        <f ca="1">IFERROR(VLOOKUP($A49,ClassGrupFases!$C$46:$Q$54,11,FALSE),"")</f>
        <v>0</v>
      </c>
      <c r="M49" s="41">
        <f ca="1">IFERROR(VLOOKUP($A49,ClassGrupFases!$C$46:$Q$54,1,FALSE),"")</f>
        <v>6</v>
      </c>
    </row>
    <row r="50" spans="1:13" x14ac:dyDescent="0.25">
      <c r="A50" s="37">
        <v>7</v>
      </c>
      <c r="B50" s="46">
        <f ca="1">IFERROR(VLOOKUP($A50,ClassGrupFases!$C$46:$Q$54,15,FALSE),"")</f>
        <v>7</v>
      </c>
      <c r="C50" s="47" t="str">
        <f ca="1">IFERROR(VLOOKUP($A50,ClassGrupFases!$C$46:$Q$54,2,FALSE),"")</f>
        <v>LÉO CARIOCA(MZ)</v>
      </c>
      <c r="D50" s="48">
        <f ca="1">IFERROR(VLOOKUP($A50,ClassGrupFases!$C$46:$Q$54,3,FALSE),"")</f>
        <v>0.38095238095238093</v>
      </c>
      <c r="E50" s="49">
        <f ca="1">IFERROR(VLOOKUP($A50,ClassGrupFases!$C$46:$Q$54,4,FALSE),"")</f>
        <v>8</v>
      </c>
      <c r="F50" s="49">
        <f ca="1">IFERROR(VLOOKUP($A50,ClassGrupFases!$C$46:$Q$54,5,FALSE),"")</f>
        <v>7</v>
      </c>
      <c r="G50" s="49">
        <f ca="1">IFERROR(VLOOKUP($A50,ClassGrupFases!$C$46:$Q$54,6,FALSE),"")</f>
        <v>2</v>
      </c>
      <c r="H50" s="49">
        <f ca="1">IFERROR(VLOOKUP($A50,ClassGrupFases!$C$46:$Q$54,7,FALSE),"")</f>
        <v>2</v>
      </c>
      <c r="I50" s="49">
        <f ca="1">IFERROR(VLOOKUP($A50,ClassGrupFases!$C$46:$Q$54,8,FALSE),"")</f>
        <v>3</v>
      </c>
      <c r="J50" s="49">
        <f ca="1">IFERROR(VLOOKUP($A50,ClassGrupFases!$C$46:$Q$54,9,FALSE),"")</f>
        <v>10</v>
      </c>
      <c r="K50" s="49">
        <f ca="1">IFERROR(VLOOKUP($A50,ClassGrupFases!$C$46:$Q$54,10,FALSE),"")</f>
        <v>12</v>
      </c>
      <c r="L50" s="49">
        <f ca="1">IFERROR(VLOOKUP($A50,ClassGrupFases!$C$46:$Q$54,11,FALSE),"")</f>
        <v>-2</v>
      </c>
      <c r="M50" s="41">
        <f ca="1">IFERROR(VLOOKUP($A50,ClassGrupFases!$C$46:$Q$54,1,FALSE),"")</f>
        <v>7</v>
      </c>
    </row>
    <row r="51" spans="1:13" x14ac:dyDescent="0.25">
      <c r="A51" s="37">
        <v>8</v>
      </c>
      <c r="B51" s="50">
        <f ca="1">IFERROR(VLOOKUP($A51,ClassGrupFases!$C$46:$Q$54,15,FALSE),"")</f>
        <v>8</v>
      </c>
      <c r="C51" s="51" t="str">
        <f ca="1">IFERROR(VLOOKUP($A51,ClassGrupFases!$C$46:$Q$54,2,FALSE),"")</f>
        <v>RICARDO RAMALHO(BF)</v>
      </c>
      <c r="D51" s="52">
        <f ca="1">IFERROR(VLOOKUP($A51,ClassGrupFases!$C$46:$Q$54,3,FALSE),"")</f>
        <v>0.23809523809523808</v>
      </c>
      <c r="E51" s="53">
        <f ca="1">IFERROR(VLOOKUP($A51,ClassGrupFases!$C$46:$Q$54,4,FALSE),"")</f>
        <v>5</v>
      </c>
      <c r="F51" s="53">
        <f ca="1">IFERROR(VLOOKUP($A51,ClassGrupFases!$C$46:$Q$54,5,FALSE),"")</f>
        <v>7</v>
      </c>
      <c r="G51" s="53">
        <f ca="1">IFERROR(VLOOKUP($A51,ClassGrupFases!$C$46:$Q$54,6,FALSE),"")</f>
        <v>1</v>
      </c>
      <c r="H51" s="53">
        <f ca="1">IFERROR(VLOOKUP($A51,ClassGrupFases!$C$46:$Q$54,7,FALSE),"")</f>
        <v>2</v>
      </c>
      <c r="I51" s="53">
        <f ca="1">IFERROR(VLOOKUP($A51,ClassGrupFases!$C$46:$Q$54,8,FALSE),"")</f>
        <v>4</v>
      </c>
      <c r="J51" s="53">
        <f ca="1">IFERROR(VLOOKUP($A51,ClassGrupFases!$C$46:$Q$54,9,FALSE),"")</f>
        <v>4</v>
      </c>
      <c r="K51" s="53">
        <f ca="1">IFERROR(VLOOKUP($A51,ClassGrupFases!$C$46:$Q$54,10,FALSE),"")</f>
        <v>6</v>
      </c>
      <c r="L51" s="53">
        <f ca="1">IFERROR(VLOOKUP($A51,ClassGrupFases!$C$46:$Q$54,11,FALSE),"")</f>
        <v>-2</v>
      </c>
      <c r="M51" s="41">
        <f ca="1">IFERROR(VLOOKUP($A51,ClassGrupFases!$C$46:$Q$54,1,FALSE),"")</f>
        <v>8</v>
      </c>
    </row>
  </sheetData>
  <sheetProtection sheet="1" objects="1" scenarios="1"/>
  <phoneticPr fontId="26" type="noConversion"/>
  <pageMargins left="0.7" right="0.7" top="0.75" bottom="0.75" header="0.3" footer="0.3"/>
  <pageSetup paperSize="9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2"/>
  <sheetViews>
    <sheetView workbookViewId="0">
      <selection activeCell="C3" sqref="C2:C12"/>
    </sheetView>
  </sheetViews>
  <sheetFormatPr defaultRowHeight="15" x14ac:dyDescent="0.2"/>
  <cols>
    <col min="1" max="1" width="45.625" customWidth="1"/>
    <col min="2" max="2" width="24.4140625" customWidth="1"/>
    <col min="4" max="4" width="21.578125" customWidth="1"/>
  </cols>
  <sheetData>
    <row r="1" spans="1:3" x14ac:dyDescent="0.2">
      <c r="A1" t="s">
        <v>178</v>
      </c>
    </row>
    <row r="2" spans="1:3" x14ac:dyDescent="0.2">
      <c r="C2" s="90" t="s">
        <v>180</v>
      </c>
    </row>
    <row r="3" spans="1:3" x14ac:dyDescent="0.2">
      <c r="C3" s="90" t="s">
        <v>179</v>
      </c>
    </row>
    <row r="4" spans="1:3" x14ac:dyDescent="0.2">
      <c r="C4" s="90" t="s">
        <v>179</v>
      </c>
    </row>
    <row r="5" spans="1:3" x14ac:dyDescent="0.2">
      <c r="C5" s="90" t="s">
        <v>179</v>
      </c>
    </row>
    <row r="6" spans="1:3" x14ac:dyDescent="0.2">
      <c r="C6" s="90" t="s">
        <v>179</v>
      </c>
    </row>
    <row r="7" spans="1:3" x14ac:dyDescent="0.2">
      <c r="C7" s="90" t="s">
        <v>179</v>
      </c>
    </row>
    <row r="8" spans="1:3" x14ac:dyDescent="0.2">
      <c r="C8" s="90" t="s">
        <v>179</v>
      </c>
    </row>
    <row r="9" spans="1:3" x14ac:dyDescent="0.2">
      <c r="C9" s="90" t="s">
        <v>179</v>
      </c>
    </row>
    <row r="10" spans="1:3" x14ac:dyDescent="0.2">
      <c r="C10" s="90" t="s">
        <v>179</v>
      </c>
    </row>
    <row r="11" spans="1:3" x14ac:dyDescent="0.2">
      <c r="C11" s="90" t="s">
        <v>179</v>
      </c>
    </row>
    <row r="12" spans="1:3" x14ac:dyDescent="0.2">
      <c r="C12" s="90" t="s">
        <v>179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28"/>
  <sheetViews>
    <sheetView showGridLines="0" topLeftCell="B1" workbookViewId="0">
      <pane ySplit="1" topLeftCell="B23" activePane="bottomLeft" state="frozen"/>
      <selection activeCell="B1" sqref="B1"/>
      <selection pane="bottomLeft" activeCell="C5" sqref="C5"/>
    </sheetView>
  </sheetViews>
  <sheetFormatPr defaultColWidth="10.8515625" defaultRowHeight="17.25" x14ac:dyDescent="0.25"/>
  <cols>
    <col min="1" max="1" width="2.8359375" style="57" hidden="1" customWidth="1"/>
    <col min="2" max="2" width="40.81640625" style="36" customWidth="1"/>
    <col min="3" max="5" width="4.9296875" style="34" customWidth="1"/>
    <col min="6" max="6" width="40.81640625" style="35" customWidth="1"/>
    <col min="7" max="7" width="2.8359375" style="57" hidden="1" customWidth="1"/>
    <col min="8" max="8" width="6.90234375" style="34" customWidth="1"/>
    <col min="9" max="11" width="4.9296875" style="34" hidden="1" customWidth="1"/>
    <col min="12" max="12" width="10.8515625" style="36"/>
    <col min="13" max="13" width="4.9296875" style="58" hidden="1" customWidth="1"/>
    <col min="14" max="14" width="0" style="59" hidden="1" customWidth="1"/>
    <col min="15" max="15" width="4.9296875" style="58" hidden="1" customWidth="1"/>
    <col min="16" max="16" width="1.84765625" style="24" hidden="1" customWidth="1"/>
    <col min="17" max="17" width="4.9296875" style="57" hidden="1" customWidth="1"/>
    <col min="18" max="18" width="0" style="60" hidden="1" customWidth="1"/>
    <col min="19" max="19" width="4.9296875" style="57" hidden="1" customWidth="1"/>
    <col min="20" max="20" width="0" style="24" hidden="1" customWidth="1"/>
    <col min="21" max="31" width="5.91796875" style="61" hidden="1" customWidth="1"/>
    <col min="32" max="16384" width="10.8515625" style="23"/>
  </cols>
  <sheetData>
    <row r="1" spans="1:31" ht="21" x14ac:dyDescent="0.25">
      <c r="B1" s="2" t="s">
        <v>85</v>
      </c>
      <c r="R1" s="60" t="s">
        <v>86</v>
      </c>
    </row>
    <row r="2" spans="1:31" x14ac:dyDescent="0.25">
      <c r="B2" s="3" t="s">
        <v>1</v>
      </c>
      <c r="R2" s="60" t="b">
        <f>Jogos!M2*2 = ClassGrupFases!$S$2</f>
        <v>1</v>
      </c>
    </row>
    <row r="3" spans="1:31" ht="23.25" x14ac:dyDescent="0.35">
      <c r="B3" s="63" t="s">
        <v>87</v>
      </c>
      <c r="C3" s="63"/>
      <c r="D3" s="63"/>
      <c r="E3" s="63"/>
      <c r="F3" s="63"/>
      <c r="G3" s="63"/>
      <c r="H3" s="63"/>
      <c r="U3" s="61" t="s">
        <v>14</v>
      </c>
      <c r="V3" s="61" t="s">
        <v>14</v>
      </c>
      <c r="W3" s="61" t="s">
        <v>15</v>
      </c>
      <c r="X3" s="61" t="s">
        <v>16</v>
      </c>
      <c r="Y3" s="61" t="s">
        <v>16</v>
      </c>
      <c r="Z3" s="61" t="s">
        <v>17</v>
      </c>
      <c r="AA3" s="61" t="s">
        <v>18</v>
      </c>
      <c r="AB3" s="61" t="s">
        <v>19</v>
      </c>
      <c r="AC3" s="61" t="s">
        <v>15</v>
      </c>
      <c r="AD3" s="61" t="s">
        <v>20</v>
      </c>
      <c r="AE3" s="61" t="s">
        <v>21</v>
      </c>
    </row>
    <row r="4" spans="1:31" x14ac:dyDescent="0.25">
      <c r="B4" s="66" t="s">
        <v>88</v>
      </c>
      <c r="C4" s="66"/>
      <c r="D4" s="66"/>
      <c r="E4" s="66"/>
      <c r="F4" s="66"/>
      <c r="G4" s="66"/>
      <c r="H4" s="65" t="s">
        <v>89</v>
      </c>
      <c r="L4" s="64">
        <f>Jogos!K3 + TIME(0,140,0)</f>
        <v>45340.611111111109</v>
      </c>
      <c r="M4" s="68" t="s">
        <v>90</v>
      </c>
      <c r="N4" s="67"/>
      <c r="O4" s="67"/>
      <c r="Q4" s="70" t="s">
        <v>91</v>
      </c>
      <c r="R4" s="69"/>
      <c r="S4" s="69"/>
    </row>
    <row r="5" spans="1:31" x14ac:dyDescent="0.25">
      <c r="A5" s="57">
        <v>1</v>
      </c>
      <c r="B5" s="74" t="str">
        <f ca="1">IFERROR(IF($R$2,VLOOKUP($A5,ClassGrupFases!$C$64:$D$79,2,FALSE),""),"")</f>
        <v>PABLO MARTINS(SPFC)</v>
      </c>
      <c r="C5" s="75">
        <v>0</v>
      </c>
      <c r="D5" s="71" t="s">
        <v>22</v>
      </c>
      <c r="E5" s="75">
        <v>2</v>
      </c>
      <c r="F5" s="72" t="str">
        <f ca="1">IFERROR(IF($R$2,VLOOKUP($G5,ClassGrupFases!$C$64:$D$79,2,FALSE),""),"")</f>
        <v>LUIZ COELHO(MZ)</v>
      </c>
      <c r="G5" s="73">
        <v>16</v>
      </c>
      <c r="H5" s="71">
        <v>1</v>
      </c>
      <c r="I5" s="71"/>
      <c r="J5" s="71"/>
      <c r="K5" s="71"/>
      <c r="M5" s="58">
        <f ca="1">IFERROR(_xlfn.RANK.EQ(O5, O5:O12, 0), "")</f>
        <v>8</v>
      </c>
      <c r="N5" s="59" t="str">
        <f t="shared" ref="N5:N12" ca="1" si="0">IF(OR(C5="", E5=""), "", IF(OR(C5&gt;E5, C5=E5), B5, F5))</f>
        <v>LUIZ COELHO(MZ)</v>
      </c>
      <c r="O5" s="58">
        <f ca="1">IF(OR(C5="", E5=""), "", VLOOKUP(N5, ClassGrupFases!$D$6:$P$53, 11, 0))</f>
        <v>48.639053389047625</v>
      </c>
      <c r="Q5" s="57">
        <f ca="1">IFERROR(_xlfn.RANK.EQ(S5, S5:S12, 0) + 8, "")</f>
        <v>9</v>
      </c>
      <c r="R5" s="60" t="str">
        <f t="shared" ref="R5:R12" ca="1" si="1">IF(OR(C5="", E5=""), "", IF(OR(C5&gt;E5, C5=E5), F5, B5))</f>
        <v>PABLO MARTINS(SPFC)</v>
      </c>
      <c r="S5" s="57">
        <f ca="1">IF(OR(C5="", E5=""), "", VLOOKUP(R5, ClassGrupFases!$D$6:$P$53, 11, 0))</f>
        <v>92.437816076190472</v>
      </c>
      <c r="U5" s="61" t="str">
        <f t="shared" ref="U5:U12" ca="1" si="2">IF(OR(C5 = "",E5 = ""), "", F5)</f>
        <v>LUIZ COELHO(MZ)</v>
      </c>
      <c r="W5" s="61" t="str">
        <f t="shared" ref="W5:W12" ca="1" si="3">IF(OR(C5 = "",E5 = ""), "", IF(C5&gt;E5,B5, IF(E5&gt;C5,F5, "")))</f>
        <v>LUIZ COELHO(MZ)</v>
      </c>
      <c r="X5" s="61" t="str">
        <f t="shared" ref="X5:X12" si="4">IF(OR(C5 = "",E5 = ""), "", IF(C5=E5,B5, ""))</f>
        <v/>
      </c>
      <c r="Y5" s="61" t="str">
        <f t="shared" ref="Y5:Y12" si="5">IF(OR(C5 = "",E5 = ""), "", IF(C5=E5,F5, ""))</f>
        <v/>
      </c>
      <c r="Z5" s="61" t="str">
        <f t="shared" ref="Z5:Z12" ca="1" si="6">IF(OR(C5 = "",E5 = ""), "", IF(C5&gt;E5,F5, IF(E5&gt;C5,B5, "")))</f>
        <v>PABLO MARTINS(SPFC)</v>
      </c>
      <c r="AA5" s="61" t="str">
        <f t="shared" ref="AA5:AA12" ca="1" si="7">IF(OR(C5 = "",E5 = ""), "", B5)</f>
        <v>PABLO MARTINS(SPFC)</v>
      </c>
      <c r="AB5" s="61">
        <f t="shared" ref="AB5:AB12" si="8">IF(C5 = "", "", C5)</f>
        <v>0</v>
      </c>
      <c r="AC5" s="61" t="str">
        <f t="shared" ref="AC5:AC12" ca="1" si="9">IF(OR(C5 = "",E5 = ""), "", F5)</f>
        <v>LUIZ COELHO(MZ)</v>
      </c>
      <c r="AD5" s="61">
        <f t="shared" ref="AD5:AD12" si="10">IF(E5 = "", "", E5)</f>
        <v>2</v>
      </c>
      <c r="AE5" s="61">
        <f t="shared" ref="AE5:AE12" si="11">IF(C5 = "", "", C5)</f>
        <v>0</v>
      </c>
    </row>
    <row r="6" spans="1:31" x14ac:dyDescent="0.25">
      <c r="A6" s="57">
        <v>2</v>
      </c>
      <c r="B6" s="62" t="str">
        <f ca="1">IFERROR(IF($R$2,VLOOKUP($A6,ClassGrupFases!$C$64:$D$79,2,FALSE),""),"")</f>
        <v>MARCOS MATTOS(BF)</v>
      </c>
      <c r="C6" s="75">
        <v>0</v>
      </c>
      <c r="D6" s="34" t="s">
        <v>22</v>
      </c>
      <c r="E6" s="75">
        <v>0</v>
      </c>
      <c r="F6" s="35" t="str">
        <f ca="1">IFERROR(IF($R$2,VLOOKUP($G6,ClassGrupFases!$C$64:$D$79,2,FALSE),""),"")</f>
        <v>PEPE 2004(CEPE)</v>
      </c>
      <c r="G6" s="57">
        <v>15</v>
      </c>
      <c r="H6" s="34">
        <v>2</v>
      </c>
      <c r="M6" s="58">
        <f ca="1">IFERROR(_xlfn.RANK.EQ(O6, O5:O12, 0), "")</f>
        <v>1</v>
      </c>
      <c r="N6" s="59" t="str">
        <f t="shared" ca="1" si="0"/>
        <v>MARCOS MATTOS(BF)</v>
      </c>
      <c r="O6" s="58">
        <f ca="1">IF(OR(C6="", E6=""), "", VLOOKUP(N6, ClassGrupFases!$D$6:$P$53, 11, 0))</f>
        <v>87.575602424285719</v>
      </c>
      <c r="Q6" s="57">
        <f ca="1">IFERROR(_xlfn.RANK.EQ(S6, S5:S12, 0) + 8, "")</f>
        <v>16</v>
      </c>
      <c r="R6" s="60" t="str">
        <f t="shared" ca="1" si="1"/>
        <v>PEPE 2004(CEPE)</v>
      </c>
      <c r="S6" s="57">
        <f ca="1">IF(OR(C6="", E6=""), "", VLOOKUP(R6, ClassGrupFases!$D$6:$P$53, 11, 0))</f>
        <v>48.648857089047617</v>
      </c>
      <c r="U6" s="61" t="str">
        <f t="shared" ca="1" si="2"/>
        <v>PEPE 2004(CEPE)</v>
      </c>
      <c r="W6" s="61" t="str">
        <f t="shared" si="3"/>
        <v/>
      </c>
      <c r="X6" s="61" t="str">
        <f t="shared" ca="1" si="4"/>
        <v>MARCOS MATTOS(BF)</v>
      </c>
      <c r="Y6" s="61" t="str">
        <f t="shared" ca="1" si="5"/>
        <v>PEPE 2004(CEPE)</v>
      </c>
      <c r="Z6" s="61" t="str">
        <f t="shared" si="6"/>
        <v/>
      </c>
      <c r="AA6" s="61" t="str">
        <f t="shared" ca="1" si="7"/>
        <v>MARCOS MATTOS(BF)</v>
      </c>
      <c r="AB6" s="61">
        <f t="shared" si="8"/>
        <v>0</v>
      </c>
      <c r="AC6" s="61" t="str">
        <f t="shared" ca="1" si="9"/>
        <v>PEPE 2004(CEPE)</v>
      </c>
      <c r="AD6" s="61">
        <f t="shared" si="10"/>
        <v>0</v>
      </c>
      <c r="AE6" s="61">
        <f t="shared" si="11"/>
        <v>0</v>
      </c>
    </row>
    <row r="7" spans="1:31" x14ac:dyDescent="0.25">
      <c r="A7" s="57">
        <v>3</v>
      </c>
      <c r="B7" s="74" t="str">
        <f ca="1">IFERROR(IF($R$2,VLOOKUP($A7,ClassGrupFases!$C$64:$D$79,2,FALSE),""),"")</f>
        <v>GALDEANO(SCCP)</v>
      </c>
      <c r="C7" s="75">
        <v>2</v>
      </c>
      <c r="D7" s="71" t="s">
        <v>22</v>
      </c>
      <c r="E7" s="75">
        <v>0</v>
      </c>
      <c r="F7" s="72" t="str">
        <f ca="1">IFERROR(IF($R$2,VLOOKUP($G7,ClassGrupFases!$C$64:$D$79,2,FALSE),""),"")</f>
        <v>FÉLIX(CEPE)</v>
      </c>
      <c r="G7" s="73">
        <v>14</v>
      </c>
      <c r="H7" s="71">
        <v>3</v>
      </c>
      <c r="I7" s="71"/>
      <c r="J7" s="71"/>
      <c r="K7" s="71"/>
      <c r="M7" s="58">
        <f ca="1">IFERROR(_xlfn.RANK.EQ(O7, O5:O12, 0), "")</f>
        <v>2</v>
      </c>
      <c r="N7" s="59" t="str">
        <f t="shared" ca="1" si="0"/>
        <v>GALDEANO(SCCP)</v>
      </c>
      <c r="O7" s="58">
        <f ca="1">IF(OR(C7="", E7=""), "", VLOOKUP(N7, ClassGrupFases!$D$6:$P$53, 11, 0))</f>
        <v>87.575507294285714</v>
      </c>
      <c r="Q7" s="57">
        <f ca="1">IFERROR(_xlfn.RANK.EQ(S7, S5:S12, 0) + 8, "")</f>
        <v>15</v>
      </c>
      <c r="R7" s="60" t="str">
        <f t="shared" ca="1" si="1"/>
        <v>FÉLIX(CEPE)</v>
      </c>
      <c r="S7" s="57">
        <f ca="1">IF(OR(C7="", E7=""), "", VLOOKUP(R7, ClassGrupFases!$D$6:$P$53, 11, 0))</f>
        <v>48.649059319047616</v>
      </c>
      <c r="U7" s="61" t="str">
        <f t="shared" ca="1" si="2"/>
        <v>FÉLIX(CEPE)</v>
      </c>
      <c r="W7" s="61" t="str">
        <f t="shared" ca="1" si="3"/>
        <v>GALDEANO(SCCP)</v>
      </c>
      <c r="X7" s="61" t="str">
        <f t="shared" si="4"/>
        <v/>
      </c>
      <c r="Y7" s="61" t="str">
        <f t="shared" si="5"/>
        <v/>
      </c>
      <c r="Z7" s="61" t="str">
        <f t="shared" ca="1" si="6"/>
        <v>FÉLIX(CEPE)</v>
      </c>
      <c r="AA7" s="61" t="str">
        <f t="shared" ca="1" si="7"/>
        <v>GALDEANO(SCCP)</v>
      </c>
      <c r="AB7" s="61">
        <f t="shared" si="8"/>
        <v>2</v>
      </c>
      <c r="AC7" s="61" t="str">
        <f t="shared" ca="1" si="9"/>
        <v>FÉLIX(CEPE)</v>
      </c>
      <c r="AD7" s="61">
        <f t="shared" si="10"/>
        <v>0</v>
      </c>
      <c r="AE7" s="61">
        <f t="shared" si="11"/>
        <v>2</v>
      </c>
    </row>
    <row r="8" spans="1:31" x14ac:dyDescent="0.25">
      <c r="A8" s="57">
        <v>4</v>
      </c>
      <c r="B8" s="62" t="str">
        <f ca="1">IFERROR(IF($R$2,VLOOKUP($A8,ClassGrupFases!$C$64:$D$79,2,FALSE),""),"")</f>
        <v>VINICIUS ROLIM(SCCP)</v>
      </c>
      <c r="C8" s="75">
        <v>1</v>
      </c>
      <c r="D8" s="34" t="s">
        <v>22</v>
      </c>
      <c r="E8" s="75">
        <v>0</v>
      </c>
      <c r="F8" s="35" t="str">
        <f ca="1">IFERROR(IF($R$2,VLOOKUP($G8,ClassGrupFases!$C$64:$D$79,2,FALSE),""),"")</f>
        <v>RODRIGO MORO(SCCP)</v>
      </c>
      <c r="G8" s="57">
        <v>13</v>
      </c>
      <c r="H8" s="34">
        <v>4</v>
      </c>
      <c r="M8" s="58">
        <f ca="1">IFERROR(_xlfn.RANK.EQ(O8, O5:O12, 0), "")</f>
        <v>3</v>
      </c>
      <c r="N8" s="59" t="str">
        <f t="shared" ca="1" si="0"/>
        <v>VINICIUS ROLIM(SCCP)</v>
      </c>
      <c r="O8" s="58">
        <f ca="1">IF(OR(C8="", E8=""), "", VLOOKUP(N8, ClassGrupFases!$D$6:$P$53, 11, 0))</f>
        <v>82.702992742380957</v>
      </c>
      <c r="Q8" s="57">
        <f ca="1">IFERROR(_xlfn.RANK.EQ(S8, S5:S12, 0) + 8, "")</f>
        <v>14</v>
      </c>
      <c r="R8" s="60" t="str">
        <f t="shared" ca="1" si="1"/>
        <v>RODRIGO MORO(SCCP)</v>
      </c>
      <c r="S8" s="57">
        <f ca="1">IF(OR(C8="", E8=""), "", VLOOKUP(R8, ClassGrupFases!$D$6:$P$53, 11, 0))</f>
        <v>53.51076386095238</v>
      </c>
      <c r="U8" s="61" t="str">
        <f t="shared" ca="1" si="2"/>
        <v>RODRIGO MORO(SCCP)</v>
      </c>
      <c r="W8" s="61" t="str">
        <f t="shared" ca="1" si="3"/>
        <v>VINICIUS ROLIM(SCCP)</v>
      </c>
      <c r="X8" s="61" t="str">
        <f t="shared" si="4"/>
        <v/>
      </c>
      <c r="Y8" s="61" t="str">
        <f t="shared" si="5"/>
        <v/>
      </c>
      <c r="Z8" s="61" t="str">
        <f t="shared" ca="1" si="6"/>
        <v>RODRIGO MORO(SCCP)</v>
      </c>
      <c r="AA8" s="61" t="str">
        <f t="shared" ca="1" si="7"/>
        <v>VINICIUS ROLIM(SCCP)</v>
      </c>
      <c r="AB8" s="61">
        <f t="shared" si="8"/>
        <v>1</v>
      </c>
      <c r="AC8" s="61" t="str">
        <f t="shared" ca="1" si="9"/>
        <v>RODRIGO MORO(SCCP)</v>
      </c>
      <c r="AD8" s="61">
        <f t="shared" si="10"/>
        <v>0</v>
      </c>
      <c r="AE8" s="61">
        <f t="shared" si="11"/>
        <v>1</v>
      </c>
    </row>
    <row r="9" spans="1:31" x14ac:dyDescent="0.25">
      <c r="A9" s="57">
        <v>5</v>
      </c>
      <c r="B9" s="74" t="str">
        <f ca="1">IFERROR(IF($R$2,VLOOKUP($A9,ClassGrupFases!$C$64:$D$79,2,FALSE),""),"")</f>
        <v>MARCOS WILLOW(SCCP)</v>
      </c>
      <c r="C9" s="75">
        <v>5</v>
      </c>
      <c r="D9" s="71" t="s">
        <v>22</v>
      </c>
      <c r="E9" s="75">
        <v>0</v>
      </c>
      <c r="F9" s="72" t="str">
        <f ca="1">IFERROR(IF($R$2,VLOOKUP($G9,ClassGrupFases!$C$64:$D$79,2,FALSE),""),"")</f>
        <v>RAFAEL BALIEIRO(LTVL)</v>
      </c>
      <c r="G9" s="73">
        <v>12</v>
      </c>
      <c r="H9" s="71">
        <v>5</v>
      </c>
      <c r="I9" s="71"/>
      <c r="J9" s="71"/>
      <c r="K9" s="71"/>
      <c r="M9" s="58">
        <f ca="1">IFERROR(_xlfn.RANK.EQ(O9, O5:O12, 0), "")</f>
        <v>4</v>
      </c>
      <c r="N9" s="59" t="str">
        <f t="shared" ca="1" si="0"/>
        <v>MARCOS WILLOW(SCCP)</v>
      </c>
      <c r="O9" s="58">
        <f ca="1">IF(OR(C9="", E9=""), "", VLOOKUP(N9, ClassGrupFases!$D$6:$P$53, 11, 0))</f>
        <v>77.84119212047618</v>
      </c>
      <c r="Q9" s="57">
        <f ca="1">IFERROR(_xlfn.RANK.EQ(S9, S5:S12, 0) + 8, "")</f>
        <v>13</v>
      </c>
      <c r="R9" s="60" t="str">
        <f t="shared" ca="1" si="1"/>
        <v>RAFAEL BALIEIRO(LTVL)</v>
      </c>
      <c r="S9" s="57">
        <f ca="1">IF(OR(C9="", E9=""), "", VLOOKUP(R9, ClassGrupFases!$D$6:$P$53, 11, 0))</f>
        <v>53.510964010952378</v>
      </c>
      <c r="U9" s="61" t="str">
        <f t="shared" ca="1" si="2"/>
        <v>RAFAEL BALIEIRO(LTVL)</v>
      </c>
      <c r="W9" s="61" t="str">
        <f t="shared" ca="1" si="3"/>
        <v>MARCOS WILLOW(SCCP)</v>
      </c>
      <c r="X9" s="61" t="str">
        <f t="shared" si="4"/>
        <v/>
      </c>
      <c r="Y9" s="61" t="str">
        <f t="shared" si="5"/>
        <v/>
      </c>
      <c r="Z9" s="61" t="str">
        <f t="shared" ca="1" si="6"/>
        <v>RAFAEL BALIEIRO(LTVL)</v>
      </c>
      <c r="AA9" s="61" t="str">
        <f t="shared" ca="1" si="7"/>
        <v>MARCOS WILLOW(SCCP)</v>
      </c>
      <c r="AB9" s="61">
        <f t="shared" si="8"/>
        <v>5</v>
      </c>
      <c r="AC9" s="61" t="str">
        <f t="shared" ca="1" si="9"/>
        <v>RAFAEL BALIEIRO(LTVL)</v>
      </c>
      <c r="AD9" s="61">
        <f t="shared" si="10"/>
        <v>0</v>
      </c>
      <c r="AE9" s="61">
        <f t="shared" si="11"/>
        <v>5</v>
      </c>
    </row>
    <row r="10" spans="1:31" x14ac:dyDescent="0.25">
      <c r="A10" s="57">
        <v>6</v>
      </c>
      <c r="B10" s="62" t="str">
        <f ca="1">IFERROR(IF($R$2,VLOOKUP($A10,ClassGrupFases!$C$64:$D$79,2,FALSE),""),"")</f>
        <v>TABAJARA(CEPE)</v>
      </c>
      <c r="C10" s="75">
        <v>2</v>
      </c>
      <c r="D10" s="34" t="s">
        <v>22</v>
      </c>
      <c r="E10" s="75">
        <v>0</v>
      </c>
      <c r="F10" s="35" t="str">
        <f ca="1">IFERROR(IF($R$2,VLOOKUP($G10,ClassGrupFases!$C$64:$D$79,2,FALSE),""),"")</f>
        <v>AURÉLIO(BF)</v>
      </c>
      <c r="G10" s="57">
        <v>11</v>
      </c>
      <c r="H10" s="34">
        <v>6</v>
      </c>
      <c r="M10" s="58">
        <f ca="1">IFERROR(_xlfn.RANK.EQ(O10, O5:O12, 0), "")</f>
        <v>5</v>
      </c>
      <c r="N10" s="59" t="str">
        <f t="shared" ca="1" si="0"/>
        <v>TABAJARA(CEPE)</v>
      </c>
      <c r="O10" s="58">
        <f ca="1">IF(OR(C10="", E10=""), "", VLOOKUP(N10, ClassGrupFases!$D$6:$P$53, 11, 0))</f>
        <v>72.969789268571432</v>
      </c>
      <c r="Q10" s="57">
        <f ca="1">IFERROR(_xlfn.RANK.EQ(S10, S5:S12, 0) + 8, "")</f>
        <v>12</v>
      </c>
      <c r="R10" s="60" t="str">
        <f t="shared" ca="1" si="1"/>
        <v>AURÉLIO(BF)</v>
      </c>
      <c r="S10" s="57">
        <f ca="1">IF(OR(C10="", E10=""), "", VLOOKUP(R10, ClassGrupFases!$D$6:$P$53, 11, 0))</f>
        <v>53.511162260952375</v>
      </c>
      <c r="U10" s="61" t="str">
        <f t="shared" ca="1" si="2"/>
        <v>AURÉLIO(BF)</v>
      </c>
      <c r="W10" s="61" t="str">
        <f t="shared" ca="1" si="3"/>
        <v>TABAJARA(CEPE)</v>
      </c>
      <c r="X10" s="61" t="str">
        <f t="shared" si="4"/>
        <v/>
      </c>
      <c r="Y10" s="61" t="str">
        <f t="shared" si="5"/>
        <v/>
      </c>
      <c r="Z10" s="61" t="str">
        <f t="shared" ca="1" si="6"/>
        <v>AURÉLIO(BF)</v>
      </c>
      <c r="AA10" s="61" t="str">
        <f t="shared" ca="1" si="7"/>
        <v>TABAJARA(CEPE)</v>
      </c>
      <c r="AB10" s="61">
        <f t="shared" si="8"/>
        <v>2</v>
      </c>
      <c r="AC10" s="61" t="str">
        <f t="shared" ca="1" si="9"/>
        <v>AURÉLIO(BF)</v>
      </c>
      <c r="AD10" s="61">
        <f t="shared" si="10"/>
        <v>0</v>
      </c>
      <c r="AE10" s="61">
        <f t="shared" si="11"/>
        <v>2</v>
      </c>
    </row>
    <row r="11" spans="1:31" x14ac:dyDescent="0.25">
      <c r="A11" s="57">
        <v>7</v>
      </c>
      <c r="B11" s="74" t="str">
        <f ca="1">IFERROR(IF($R$2,VLOOKUP($A11,ClassGrupFases!$C$64:$D$79,2,FALSE),""),"")</f>
        <v>PAULO ROBERTO(SPFC)</v>
      </c>
      <c r="C11" s="75">
        <v>3</v>
      </c>
      <c r="D11" s="71" t="s">
        <v>22</v>
      </c>
      <c r="E11" s="75">
        <v>2</v>
      </c>
      <c r="F11" s="72" t="str">
        <f ca="1">IFERROR(IF($R$2,VLOOKUP($G11,ClassGrupFases!$C$64:$D$79,2,FALSE),""),"")</f>
        <v>MARIO MILI(MZ)</v>
      </c>
      <c r="G11" s="73">
        <v>10</v>
      </c>
      <c r="H11" s="71">
        <v>7</v>
      </c>
      <c r="I11" s="71"/>
      <c r="J11" s="71"/>
      <c r="K11" s="71"/>
      <c r="M11" s="58">
        <f ca="1">IFERROR(_xlfn.RANK.EQ(O11, O5:O12, 0), "")</f>
        <v>6</v>
      </c>
      <c r="N11" s="59" t="str">
        <f t="shared" ca="1" si="0"/>
        <v>PAULO ROBERTO(SPFC)</v>
      </c>
      <c r="O11" s="58">
        <f ca="1">IF(OR(C11="", E11=""), "", VLOOKUP(N11, ClassGrupFases!$D$6:$P$53, 11, 0))</f>
        <v>72.969282918571423</v>
      </c>
      <c r="Q11" s="57">
        <f ca="1">IFERROR(_xlfn.RANK.EQ(S11, S5:S12, 0) + 8, "")</f>
        <v>11</v>
      </c>
      <c r="R11" s="60" t="str">
        <f t="shared" ca="1" si="1"/>
        <v>MARIO MILI(MZ)</v>
      </c>
      <c r="S11" s="57">
        <f ca="1">IF(OR(C11="", E11=""), "", VLOOKUP(R11, ClassGrupFases!$D$6:$P$53, 11, 0))</f>
        <v>63.245070574761911</v>
      </c>
      <c r="U11" s="61" t="str">
        <f t="shared" ca="1" si="2"/>
        <v>MARIO MILI(MZ)</v>
      </c>
      <c r="W11" s="61" t="str">
        <f t="shared" ca="1" si="3"/>
        <v>PAULO ROBERTO(SPFC)</v>
      </c>
      <c r="X11" s="61" t="str">
        <f t="shared" si="4"/>
        <v/>
      </c>
      <c r="Y11" s="61" t="str">
        <f t="shared" si="5"/>
        <v/>
      </c>
      <c r="Z11" s="61" t="str">
        <f t="shared" ca="1" si="6"/>
        <v>MARIO MILI(MZ)</v>
      </c>
      <c r="AA11" s="61" t="str">
        <f t="shared" ca="1" si="7"/>
        <v>PAULO ROBERTO(SPFC)</v>
      </c>
      <c r="AB11" s="61">
        <f t="shared" si="8"/>
        <v>3</v>
      </c>
      <c r="AC11" s="61" t="str">
        <f t="shared" ca="1" si="9"/>
        <v>MARIO MILI(MZ)</v>
      </c>
      <c r="AD11" s="61">
        <f t="shared" si="10"/>
        <v>2</v>
      </c>
      <c r="AE11" s="61">
        <f t="shared" si="11"/>
        <v>3</v>
      </c>
    </row>
    <row r="12" spans="1:31" x14ac:dyDescent="0.25">
      <c r="A12" s="57">
        <v>8</v>
      </c>
      <c r="B12" s="62" t="str">
        <f ca="1">IFERROR(IF($R$2,VLOOKUP($A12,ClassGrupFases!$C$64:$D$79,2,FALSE),""),"")</f>
        <v>WAGNER(SPFC)</v>
      </c>
      <c r="C12" s="75">
        <v>2</v>
      </c>
      <c r="D12" s="34" t="s">
        <v>22</v>
      </c>
      <c r="E12" s="75">
        <v>2</v>
      </c>
      <c r="F12" s="35" t="str">
        <f ca="1">IFERROR(IF($R$2,VLOOKUP($G12,ClassGrupFases!$C$64:$D$79,2,FALSE),""),"")</f>
        <v>RUAS(CEPE)</v>
      </c>
      <c r="G12" s="57">
        <v>9</v>
      </c>
      <c r="H12" s="34">
        <v>8</v>
      </c>
      <c r="M12" s="58">
        <f ca="1">IFERROR(_xlfn.RANK.EQ(O12, O5:O12, 0), "")</f>
        <v>7</v>
      </c>
      <c r="N12" s="59" t="str">
        <f t="shared" ca="1" si="0"/>
        <v>WAGNER(SPFC)</v>
      </c>
      <c r="O12" s="58">
        <f ca="1">IF(OR(C12="", E12=""), "", VLOOKUP(N12, ClassGrupFases!$D$6:$P$53, 11, 0))</f>
        <v>68.107180386666656</v>
      </c>
      <c r="Q12" s="57">
        <f ca="1">IFERROR(_xlfn.RANK.EQ(S12, S5:S12, 0) + 8, "")</f>
        <v>10</v>
      </c>
      <c r="R12" s="60" t="str">
        <f t="shared" ca="1" si="1"/>
        <v>RUAS(CEPE)</v>
      </c>
      <c r="S12" s="57">
        <f ca="1">IF(OR(C12="", E12=""), "", VLOOKUP(R12, ClassGrupFases!$D$6:$P$53, 11, 0))</f>
        <v>68.107179606666648</v>
      </c>
      <c r="U12" s="61" t="str">
        <f t="shared" ca="1" si="2"/>
        <v>RUAS(CEPE)</v>
      </c>
      <c r="W12" s="61" t="str">
        <f t="shared" si="3"/>
        <v/>
      </c>
      <c r="X12" s="61" t="str">
        <f t="shared" ca="1" si="4"/>
        <v>WAGNER(SPFC)</v>
      </c>
      <c r="Y12" s="61" t="str">
        <f t="shared" ca="1" si="5"/>
        <v>RUAS(CEPE)</v>
      </c>
      <c r="Z12" s="61" t="str">
        <f t="shared" si="6"/>
        <v/>
      </c>
      <c r="AA12" s="61" t="str">
        <f t="shared" ca="1" si="7"/>
        <v>WAGNER(SPFC)</v>
      </c>
      <c r="AB12" s="61">
        <f t="shared" si="8"/>
        <v>2</v>
      </c>
      <c r="AC12" s="61" t="str">
        <f t="shared" ca="1" si="9"/>
        <v>RUAS(CEPE)</v>
      </c>
      <c r="AD12" s="61">
        <f t="shared" si="10"/>
        <v>2</v>
      </c>
      <c r="AE12" s="61">
        <f t="shared" si="11"/>
        <v>2</v>
      </c>
    </row>
    <row r="13" spans="1:31" ht="23.25" x14ac:dyDescent="0.35">
      <c r="B13" s="63" t="s">
        <v>92</v>
      </c>
      <c r="C13" s="63"/>
      <c r="D13" s="63"/>
      <c r="E13" s="63"/>
      <c r="F13" s="63"/>
      <c r="G13" s="63"/>
      <c r="H13" s="63"/>
      <c r="U13" s="61" t="s">
        <v>14</v>
      </c>
      <c r="V13" s="61" t="s">
        <v>14</v>
      </c>
      <c r="W13" s="61" t="s">
        <v>15</v>
      </c>
      <c r="X13" s="61" t="s">
        <v>16</v>
      </c>
      <c r="Y13" s="61" t="s">
        <v>16</v>
      </c>
      <c r="Z13" s="61" t="s">
        <v>17</v>
      </c>
      <c r="AA13" s="61" t="s">
        <v>18</v>
      </c>
      <c r="AB13" s="61" t="s">
        <v>19</v>
      </c>
      <c r="AC13" s="61" t="s">
        <v>15</v>
      </c>
      <c r="AD13" s="61" t="s">
        <v>20</v>
      </c>
      <c r="AE13" s="61" t="s">
        <v>21</v>
      </c>
    </row>
    <row r="14" spans="1:31" x14ac:dyDescent="0.25">
      <c r="B14" s="66" t="s">
        <v>88</v>
      </c>
      <c r="C14" s="66"/>
      <c r="D14" s="66"/>
      <c r="E14" s="66"/>
      <c r="F14" s="66"/>
      <c r="G14" s="66"/>
      <c r="H14" s="65" t="s">
        <v>89</v>
      </c>
      <c r="L14" s="64">
        <f>Jogos!K3 + TIME(0,160,0)</f>
        <v>45340.625</v>
      </c>
      <c r="M14" s="68" t="s">
        <v>90</v>
      </c>
      <c r="N14" s="67"/>
      <c r="O14" s="67"/>
      <c r="Q14" s="70" t="s">
        <v>91</v>
      </c>
      <c r="R14" s="69"/>
      <c r="S14" s="69"/>
    </row>
    <row r="15" spans="1:31" x14ac:dyDescent="0.25">
      <c r="A15" s="57">
        <v>1</v>
      </c>
      <c r="B15" s="74" t="str">
        <f ca="1">IFERROR(VLOOKUP($A15,$M$5:$N$12, 2, FALSE), "")</f>
        <v>MARCOS MATTOS(BF)</v>
      </c>
      <c r="C15" s="75">
        <v>1</v>
      </c>
      <c r="D15" s="71" t="s">
        <v>22</v>
      </c>
      <c r="E15" s="75">
        <v>0</v>
      </c>
      <c r="F15" s="72" t="str">
        <f ca="1">IFERROR(VLOOKUP($G15,$M$5:$N$12, 2, FALSE), "")</f>
        <v>LUIZ COELHO(MZ)</v>
      </c>
      <c r="G15" s="73">
        <v>8</v>
      </c>
      <c r="H15" s="71">
        <v>1</v>
      </c>
      <c r="I15" s="71"/>
      <c r="J15" s="71"/>
      <c r="K15" s="71"/>
      <c r="M15" s="58">
        <f ca="1">IFERROR(_xlfn.RANK.EQ(O15, O15:O18, 0), "")</f>
        <v>1</v>
      </c>
      <c r="N15" s="59" t="str">
        <f ca="1">IF(OR(C15="", E15=""), "", IF(OR(C15&gt;E15, C15=E15), B15, F15))</f>
        <v>MARCOS MATTOS(BF)</v>
      </c>
      <c r="O15" s="58">
        <f ca="1">IF(OR(C15="", E15=""), "", VLOOKUP(N15, ClassGrupFases!$D$6:$P$53, 11, 0))</f>
        <v>87.575602424285719</v>
      </c>
      <c r="Q15" s="57">
        <f ca="1">IFERROR(_xlfn.RANK.EQ(S15, S15:S18, 0) + 4, "")</f>
        <v>8</v>
      </c>
      <c r="R15" s="60" t="str">
        <f ca="1">IF(OR(C15="", E15=""), "", IF(OR(C15&gt;E15, C15=E15), F15, B15))</f>
        <v>LUIZ COELHO(MZ)</v>
      </c>
      <c r="S15" s="57">
        <f ca="1">IF(OR(C15="", E15=""), "", VLOOKUP(R15, ClassGrupFases!$D$6:$P$53, 11, 0))</f>
        <v>48.639053389047625</v>
      </c>
      <c r="U15" s="61" t="str">
        <f ca="1">IF(OR(C15 = "",E15 = ""), "", F15)</f>
        <v>LUIZ COELHO(MZ)</v>
      </c>
      <c r="W15" s="61" t="str">
        <f ca="1">IF(OR(C15 = "",E15 = ""), "", IF(C15&gt;E15,B15, IF(E15&gt;C15,F15, "")))</f>
        <v>MARCOS MATTOS(BF)</v>
      </c>
      <c r="X15" s="61" t="str">
        <f>IF(OR(C15 = "",E15 = ""), "", IF(C15=E15,B15, ""))</f>
        <v/>
      </c>
      <c r="Y15" s="61" t="str">
        <f>IF(OR(C15 = "",E15 = ""), "", IF(C15=E15,F15, ""))</f>
        <v/>
      </c>
      <c r="Z15" s="61" t="str">
        <f ca="1">IF(OR(C15 = "",E15 = ""), "", IF(C15&gt;E15,F15, IF(E15&gt;C15,B15, "")))</f>
        <v>LUIZ COELHO(MZ)</v>
      </c>
      <c r="AA15" s="61" t="str">
        <f ca="1">IF(OR(C15 = "",E15 = ""), "", B15)</f>
        <v>MARCOS MATTOS(BF)</v>
      </c>
      <c r="AB15" s="61">
        <f>IF(C15 = "", "", C15)</f>
        <v>1</v>
      </c>
      <c r="AC15" s="61" t="str">
        <f ca="1">IF(OR(C15 = "",E15 = ""), "", F15)</f>
        <v>LUIZ COELHO(MZ)</v>
      </c>
      <c r="AD15" s="61">
        <f>IF(E15 = "", "", E15)</f>
        <v>0</v>
      </c>
      <c r="AE15" s="61">
        <f>IF(C15 = "", "", C15)</f>
        <v>1</v>
      </c>
    </row>
    <row r="16" spans="1:31" x14ac:dyDescent="0.25">
      <c r="A16" s="57">
        <v>2</v>
      </c>
      <c r="B16" s="62" t="str">
        <f ca="1">IFERROR(VLOOKUP($A16,$M$5:$N$12, 2, FALSE), "")</f>
        <v>GALDEANO(SCCP)</v>
      </c>
      <c r="C16" s="75">
        <v>2</v>
      </c>
      <c r="D16" s="34" t="s">
        <v>22</v>
      </c>
      <c r="E16" s="75">
        <v>4</v>
      </c>
      <c r="F16" s="35" t="str">
        <f ca="1">IFERROR(VLOOKUP($G16,$M$5:$N$12, 2, FALSE), "")</f>
        <v>WAGNER(SPFC)</v>
      </c>
      <c r="G16" s="57">
        <v>7</v>
      </c>
      <c r="H16" s="34">
        <v>2</v>
      </c>
      <c r="M16" s="58">
        <f ca="1">IFERROR(_xlfn.RANK.EQ(O16, O15:O18, 0), "")</f>
        <v>4</v>
      </c>
      <c r="N16" s="59" t="str">
        <f ca="1">IF(OR(C16="", E16=""), "", IF(OR(C16&gt;E16, C16=E16), B16, F16))</f>
        <v>WAGNER(SPFC)</v>
      </c>
      <c r="O16" s="58">
        <f ca="1">IF(OR(C16="", E16=""), "", VLOOKUP(N16, ClassGrupFases!$D$6:$P$53, 11, 0))</f>
        <v>68.107180386666656</v>
      </c>
      <c r="Q16" s="57">
        <f ca="1">IFERROR(_xlfn.RANK.EQ(S16, S15:S18, 0) + 4, "")</f>
        <v>5</v>
      </c>
      <c r="R16" s="60" t="str">
        <f ca="1">IF(OR(C16="", E16=""), "", IF(OR(C16&gt;E16, C16=E16), F16, B16))</f>
        <v>GALDEANO(SCCP)</v>
      </c>
      <c r="S16" s="57">
        <f ca="1">IF(OR(C16="", E16=""), "", VLOOKUP(R16, ClassGrupFases!$D$6:$P$53, 11, 0))</f>
        <v>87.575507294285714</v>
      </c>
      <c r="U16" s="61" t="str">
        <f ca="1">IF(OR(C16 = "",E16 = ""), "", F16)</f>
        <v>WAGNER(SPFC)</v>
      </c>
      <c r="W16" s="61" t="str">
        <f ca="1">IF(OR(C16 = "",E16 = ""), "", IF(C16&gt;E16,B16, IF(E16&gt;C16,F16, "")))</f>
        <v>WAGNER(SPFC)</v>
      </c>
      <c r="X16" s="61" t="str">
        <f>IF(OR(C16 = "",E16 = ""), "", IF(C16=E16,B16, ""))</f>
        <v/>
      </c>
      <c r="Y16" s="61" t="str">
        <f>IF(OR(C16 = "",E16 = ""), "", IF(C16=E16,F16, ""))</f>
        <v/>
      </c>
      <c r="Z16" s="61" t="str">
        <f ca="1">IF(OR(C16 = "",E16 = ""), "", IF(C16&gt;E16,F16, IF(E16&gt;C16,B16, "")))</f>
        <v>GALDEANO(SCCP)</v>
      </c>
      <c r="AA16" s="61" t="str">
        <f ca="1">IF(OR(C16 = "",E16 = ""), "", B16)</f>
        <v>GALDEANO(SCCP)</v>
      </c>
      <c r="AB16" s="61">
        <f>IF(C16 = "", "", C16)</f>
        <v>2</v>
      </c>
      <c r="AC16" s="61" t="str">
        <f ca="1">IF(OR(C16 = "",E16 = ""), "", F16)</f>
        <v>WAGNER(SPFC)</v>
      </c>
      <c r="AD16" s="61">
        <f>IF(E16 = "", "", E16)</f>
        <v>4</v>
      </c>
      <c r="AE16" s="61">
        <f>IF(C16 = "", "", C16)</f>
        <v>2</v>
      </c>
    </row>
    <row r="17" spans="1:31" x14ac:dyDescent="0.25">
      <c r="A17" s="57">
        <v>3</v>
      </c>
      <c r="B17" s="74" t="str">
        <f ca="1">IFERROR(VLOOKUP($A17,$M$5:$N$12, 2, FALSE), "")</f>
        <v>VINICIUS ROLIM(SCCP)</v>
      </c>
      <c r="C17" s="75">
        <v>1</v>
      </c>
      <c r="D17" s="71" t="s">
        <v>22</v>
      </c>
      <c r="E17" s="75">
        <v>2</v>
      </c>
      <c r="F17" s="72" t="str">
        <f ca="1">IFERROR(VLOOKUP($G17,$M$5:$N$12, 2, FALSE), "")</f>
        <v>PAULO ROBERTO(SPFC)</v>
      </c>
      <c r="G17" s="73">
        <v>6</v>
      </c>
      <c r="H17" s="71">
        <v>3</v>
      </c>
      <c r="I17" s="71"/>
      <c r="J17" s="71"/>
      <c r="K17" s="71"/>
      <c r="M17" s="58">
        <f ca="1">IFERROR(_xlfn.RANK.EQ(O17, O15:O18, 0), "")</f>
        <v>3</v>
      </c>
      <c r="N17" s="59" t="str">
        <f ca="1">IF(OR(C17="", E17=""), "", IF(OR(C17&gt;E17, C17=E17), B17, F17))</f>
        <v>PAULO ROBERTO(SPFC)</v>
      </c>
      <c r="O17" s="58">
        <f ca="1">IF(OR(C17="", E17=""), "", VLOOKUP(N17, ClassGrupFases!$D$6:$P$53, 11, 0))</f>
        <v>72.969282918571423</v>
      </c>
      <c r="Q17" s="57">
        <f ca="1">IFERROR(_xlfn.RANK.EQ(S17, S15:S18, 0) + 4, "")</f>
        <v>6</v>
      </c>
      <c r="R17" s="60" t="str">
        <f ca="1">IF(OR(C17="", E17=""), "", IF(OR(C17&gt;E17, C17=E17), F17, B17))</f>
        <v>VINICIUS ROLIM(SCCP)</v>
      </c>
      <c r="S17" s="57">
        <f ca="1">IF(OR(C17="", E17=""), "", VLOOKUP(R17, ClassGrupFases!$D$6:$P$53, 11, 0))</f>
        <v>82.702992742380957</v>
      </c>
      <c r="U17" s="61" t="str">
        <f ca="1">IF(OR(C17 = "",E17 = ""), "", F17)</f>
        <v>PAULO ROBERTO(SPFC)</v>
      </c>
      <c r="W17" s="61" t="str">
        <f ca="1">IF(OR(C17 = "",E17 = ""), "", IF(C17&gt;E17,B17, IF(E17&gt;C17,F17, "")))</f>
        <v>PAULO ROBERTO(SPFC)</v>
      </c>
      <c r="X17" s="61" t="str">
        <f>IF(OR(C17 = "",E17 = ""), "", IF(C17=E17,B17, ""))</f>
        <v/>
      </c>
      <c r="Y17" s="61" t="str">
        <f>IF(OR(C17 = "",E17 = ""), "", IF(C17=E17,F17, ""))</f>
        <v/>
      </c>
      <c r="Z17" s="61" t="str">
        <f ca="1">IF(OR(C17 = "",E17 = ""), "", IF(C17&gt;E17,F17, IF(E17&gt;C17,B17, "")))</f>
        <v>VINICIUS ROLIM(SCCP)</v>
      </c>
      <c r="AA17" s="61" t="str">
        <f ca="1">IF(OR(C17 = "",E17 = ""), "", B17)</f>
        <v>VINICIUS ROLIM(SCCP)</v>
      </c>
      <c r="AB17" s="61">
        <f>IF(C17 = "", "", C17)</f>
        <v>1</v>
      </c>
      <c r="AC17" s="61" t="str">
        <f ca="1">IF(OR(C17 = "",E17 = ""), "", F17)</f>
        <v>PAULO ROBERTO(SPFC)</v>
      </c>
      <c r="AD17" s="61">
        <f>IF(E17 = "", "", E17)</f>
        <v>2</v>
      </c>
      <c r="AE17" s="61">
        <f>IF(C17 = "", "", C17)</f>
        <v>1</v>
      </c>
    </row>
    <row r="18" spans="1:31" x14ac:dyDescent="0.25">
      <c r="A18" s="57">
        <v>4</v>
      </c>
      <c r="B18" s="62" t="str">
        <f ca="1">IFERROR(VLOOKUP($A18,$M$5:$N$12, 2, FALSE), "")</f>
        <v>MARCOS WILLOW(SCCP)</v>
      </c>
      <c r="C18" s="75">
        <v>1</v>
      </c>
      <c r="D18" s="34" t="s">
        <v>22</v>
      </c>
      <c r="E18" s="75">
        <v>0</v>
      </c>
      <c r="F18" s="35" t="str">
        <f ca="1">IFERROR(VLOOKUP($G18,$M$5:$N$12, 2, FALSE), "")</f>
        <v>TABAJARA(CEPE)</v>
      </c>
      <c r="G18" s="57">
        <v>5</v>
      </c>
      <c r="H18" s="34">
        <v>4</v>
      </c>
      <c r="M18" s="58">
        <f ca="1">IFERROR(_xlfn.RANK.EQ(O18, O15:O18, 0), "")</f>
        <v>2</v>
      </c>
      <c r="N18" s="59" t="str">
        <f ca="1">IF(OR(C18="", E18=""), "", IF(OR(C18&gt;E18, C18=E18), B18, F18))</f>
        <v>MARCOS WILLOW(SCCP)</v>
      </c>
      <c r="O18" s="58">
        <f ca="1">IF(OR(C18="", E18=""), "", VLOOKUP(N18, ClassGrupFases!$D$6:$P$53, 11, 0))</f>
        <v>77.84119212047618</v>
      </c>
      <c r="Q18" s="57">
        <f ca="1">IFERROR(_xlfn.RANK.EQ(S18, S15:S18, 0) + 4, "")</f>
        <v>7</v>
      </c>
      <c r="R18" s="60" t="str">
        <f ca="1">IF(OR(C18="", E18=""), "", IF(OR(C18&gt;E18, C18=E18), F18, B18))</f>
        <v>TABAJARA(CEPE)</v>
      </c>
      <c r="S18" s="57">
        <f ca="1">IF(OR(C18="", E18=""), "", VLOOKUP(R18, ClassGrupFases!$D$6:$P$53, 11, 0))</f>
        <v>72.969789268571432</v>
      </c>
      <c r="U18" s="61" t="str">
        <f ca="1">IF(OR(C18 = "",E18 = ""), "", F18)</f>
        <v>TABAJARA(CEPE)</v>
      </c>
      <c r="W18" s="61" t="str">
        <f ca="1">IF(OR(C18 = "",E18 = ""), "", IF(C18&gt;E18,B18, IF(E18&gt;C18,F18, "")))</f>
        <v>MARCOS WILLOW(SCCP)</v>
      </c>
      <c r="X18" s="61" t="str">
        <f>IF(OR(C18 = "",E18 = ""), "", IF(C18=E18,B18, ""))</f>
        <v/>
      </c>
      <c r="Y18" s="61" t="str">
        <f>IF(OR(C18 = "",E18 = ""), "", IF(C18=E18,F18, ""))</f>
        <v/>
      </c>
      <c r="Z18" s="61" t="str">
        <f ca="1">IF(OR(C18 = "",E18 = ""), "", IF(C18&gt;E18,F18, IF(E18&gt;C18,B18, "")))</f>
        <v>TABAJARA(CEPE)</v>
      </c>
      <c r="AA18" s="61" t="str">
        <f ca="1">IF(OR(C18 = "",E18 = ""), "", B18)</f>
        <v>MARCOS WILLOW(SCCP)</v>
      </c>
      <c r="AB18" s="61">
        <f>IF(C18 = "", "", C18)</f>
        <v>1</v>
      </c>
      <c r="AC18" s="61" t="str">
        <f ca="1">IF(OR(C18 = "",E18 = ""), "", F18)</f>
        <v>TABAJARA(CEPE)</v>
      </c>
      <c r="AD18" s="61">
        <f>IF(E18 = "", "", E18)</f>
        <v>0</v>
      </c>
      <c r="AE18" s="61">
        <f>IF(C18 = "", "", C18)</f>
        <v>1</v>
      </c>
    </row>
    <row r="19" spans="1:31" ht="23.25" x14ac:dyDescent="0.35">
      <c r="B19" s="63" t="s">
        <v>93</v>
      </c>
      <c r="C19" s="63"/>
      <c r="D19" s="63"/>
      <c r="E19" s="63"/>
      <c r="F19" s="63"/>
      <c r="G19" s="63"/>
      <c r="H19" s="63"/>
      <c r="U19" s="61" t="s">
        <v>14</v>
      </c>
      <c r="V19" s="61" t="s">
        <v>14</v>
      </c>
      <c r="W19" s="61" t="s">
        <v>15</v>
      </c>
      <c r="X19" s="61" t="s">
        <v>16</v>
      </c>
      <c r="Y19" s="61" t="s">
        <v>16</v>
      </c>
      <c r="Z19" s="61" t="s">
        <v>17</v>
      </c>
      <c r="AA19" s="61" t="s">
        <v>18</v>
      </c>
      <c r="AB19" s="61" t="s">
        <v>19</v>
      </c>
      <c r="AC19" s="61" t="s">
        <v>15</v>
      </c>
      <c r="AD19" s="61" t="s">
        <v>20</v>
      </c>
      <c r="AE19" s="61" t="s">
        <v>21</v>
      </c>
    </row>
    <row r="20" spans="1:31" x14ac:dyDescent="0.25">
      <c r="B20" s="66" t="s">
        <v>88</v>
      </c>
      <c r="C20" s="66"/>
      <c r="D20" s="66"/>
      <c r="E20" s="66"/>
      <c r="F20" s="66"/>
      <c r="G20" s="66"/>
      <c r="H20" s="65" t="s">
        <v>89</v>
      </c>
      <c r="L20" s="64">
        <f>Jogos!K3 + TIME(0,180,0)</f>
        <v>45340.638888888891</v>
      </c>
      <c r="M20" s="68" t="s">
        <v>90</v>
      </c>
      <c r="N20" s="67"/>
      <c r="O20" s="67"/>
      <c r="Q20" s="70" t="s">
        <v>91</v>
      </c>
      <c r="R20" s="69"/>
      <c r="S20" s="69"/>
    </row>
    <row r="21" spans="1:31" x14ac:dyDescent="0.25">
      <c r="A21" s="57">
        <v>1</v>
      </c>
      <c r="B21" s="74" t="str">
        <f ca="1">IFERROR(VLOOKUP($A21,$M$15:$N$18, 2, FALSE), "")</f>
        <v>MARCOS MATTOS(BF)</v>
      </c>
      <c r="C21" s="75">
        <v>0</v>
      </c>
      <c r="D21" s="71" t="s">
        <v>22</v>
      </c>
      <c r="E21" s="75">
        <v>1</v>
      </c>
      <c r="F21" s="72" t="str">
        <f ca="1">IFERROR(VLOOKUP($G21,$M$15:$N$18, 2, FALSE), "")</f>
        <v>WAGNER(SPFC)</v>
      </c>
      <c r="G21" s="73">
        <v>4</v>
      </c>
      <c r="H21" s="71">
        <v>1</v>
      </c>
      <c r="I21" s="71"/>
      <c r="J21" s="71"/>
      <c r="K21" s="71"/>
      <c r="M21" s="58">
        <f ca="1">IFERROR(_xlfn.RANK.EQ(O21, O21:O22, 0), "")</f>
        <v>2</v>
      </c>
      <c r="N21" s="59" t="str">
        <f ca="1">IF(OR(C21="", E21=""), "", IF(OR(C21&gt;E21, C21=E21), B21, F21))</f>
        <v>WAGNER(SPFC)</v>
      </c>
      <c r="O21" s="58">
        <f ca="1">IF(OR(C21="", E21=""), "", VLOOKUP(N21, ClassGrupFases!$D$6:$P$53, 11, 0))</f>
        <v>68.107180386666656</v>
      </c>
      <c r="Q21" s="57">
        <f ca="1">IFERROR(_xlfn.RANK.EQ(S21, S21:S22, 0) + 2, "")</f>
        <v>3</v>
      </c>
      <c r="R21" s="60" t="str">
        <f ca="1">IF(OR(C21="", E21=""), "", IF(OR(C21&gt;E21, C21=E21), F21, B21))</f>
        <v>MARCOS MATTOS(BF)</v>
      </c>
      <c r="S21" s="57">
        <f ca="1">IF(OR(C21="", E21=""), "", VLOOKUP(R21, ClassGrupFases!$D$6:$P$53, 11, 0))</f>
        <v>87.575602424285719</v>
      </c>
      <c r="U21" s="61" t="str">
        <f ca="1">IF(OR(C21 = "",E21 = ""), "", F21)</f>
        <v>WAGNER(SPFC)</v>
      </c>
      <c r="W21" s="61" t="str">
        <f ca="1">IF(OR(C21 = "",E21 = ""), "", IF(C21&gt;E21,B21, IF(E21&gt;C21,F21, "")))</f>
        <v>WAGNER(SPFC)</v>
      </c>
      <c r="X21" s="61" t="str">
        <f>IF(OR(C21 = "",E21 = ""), "", IF(C21=E21,B21, ""))</f>
        <v/>
      </c>
      <c r="Y21" s="61" t="str">
        <f>IF(OR(C21 = "",E21 = ""), "", IF(C21=E21,F21, ""))</f>
        <v/>
      </c>
      <c r="Z21" s="61" t="str">
        <f ca="1">IF(OR(C21 = "",E21 = ""), "", IF(C21&gt;E21,F21, IF(E21&gt;C21,B21, "")))</f>
        <v>MARCOS MATTOS(BF)</v>
      </c>
      <c r="AA21" s="61" t="str">
        <f ca="1">IF(OR(C21 = "",E21 = ""), "", B21)</f>
        <v>MARCOS MATTOS(BF)</v>
      </c>
      <c r="AB21" s="61">
        <f>IF(C21 = "", "", C21)</f>
        <v>0</v>
      </c>
      <c r="AC21" s="61" t="str">
        <f ca="1">IF(OR(C21 = "",E21 = ""), "", F21)</f>
        <v>WAGNER(SPFC)</v>
      </c>
      <c r="AD21" s="61">
        <f>IF(E21 = "", "", E21)</f>
        <v>1</v>
      </c>
      <c r="AE21" s="61">
        <f>IF(C21 = "", "", C21)</f>
        <v>0</v>
      </c>
    </row>
    <row r="22" spans="1:31" x14ac:dyDescent="0.25">
      <c r="A22" s="57">
        <v>2</v>
      </c>
      <c r="B22" s="62" t="str">
        <f ca="1">IFERROR(VLOOKUP($A22,$M$15:$N$18, 2, FALSE), "")</f>
        <v>MARCOS WILLOW(SCCP)</v>
      </c>
      <c r="C22" s="75">
        <v>4</v>
      </c>
      <c r="D22" s="34" t="s">
        <v>22</v>
      </c>
      <c r="E22" s="75">
        <v>2</v>
      </c>
      <c r="F22" s="35" t="str">
        <f ca="1">IFERROR(VLOOKUP($G22,$M$15:$N$18, 2, FALSE), "")</f>
        <v>PAULO ROBERTO(SPFC)</v>
      </c>
      <c r="G22" s="57">
        <v>3</v>
      </c>
      <c r="H22" s="34">
        <v>2</v>
      </c>
      <c r="M22" s="58">
        <f ca="1">IFERROR(_xlfn.RANK.EQ(O22, O21:O22, 0), "")</f>
        <v>1</v>
      </c>
      <c r="N22" s="59" t="str">
        <f ca="1">IF(OR(C22="", E22=""), "", IF(OR(C22&gt;E22, C22=E22), B22, F22))</f>
        <v>MARCOS WILLOW(SCCP)</v>
      </c>
      <c r="O22" s="58">
        <f ca="1">IF(OR(C22="", E22=""), "", VLOOKUP(N22, ClassGrupFases!$D$6:$P$53, 11, 0))</f>
        <v>77.84119212047618</v>
      </c>
      <c r="Q22" s="57">
        <f ca="1">IFERROR(_xlfn.RANK.EQ(S22, S21:S22, 0) + 2, "")</f>
        <v>4</v>
      </c>
      <c r="R22" s="60" t="str">
        <f ca="1">IF(OR(C22="", E22=""), "", IF(OR(C22&gt;E22, C22=E22), F22, B22))</f>
        <v>PAULO ROBERTO(SPFC)</v>
      </c>
      <c r="S22" s="57">
        <f ca="1">IF(OR(C22="", E22=""), "", VLOOKUP(R22, ClassGrupFases!$D$6:$P$53, 11, 0))</f>
        <v>72.969282918571423</v>
      </c>
      <c r="U22" s="61" t="str">
        <f ca="1">IF(OR(C22 = "",E22 = ""), "", F22)</f>
        <v>PAULO ROBERTO(SPFC)</v>
      </c>
      <c r="W22" s="61" t="str">
        <f ca="1">IF(OR(C22 = "",E22 = ""), "", IF(C22&gt;E22,B22, IF(E22&gt;C22,F22, "")))</f>
        <v>MARCOS WILLOW(SCCP)</v>
      </c>
      <c r="X22" s="61" t="str">
        <f>IF(OR(C22 = "",E22 = ""), "", IF(C22=E22,B22, ""))</f>
        <v/>
      </c>
      <c r="Y22" s="61" t="str">
        <f>IF(OR(C22 = "",E22 = ""), "", IF(C22=E22,F22, ""))</f>
        <v/>
      </c>
      <c r="Z22" s="61" t="str">
        <f ca="1">IF(OR(C22 = "",E22 = ""), "", IF(C22&gt;E22,F22, IF(E22&gt;C22,B22, "")))</f>
        <v>PAULO ROBERTO(SPFC)</v>
      </c>
      <c r="AA22" s="61" t="str">
        <f ca="1">IF(OR(C22 = "",E22 = ""), "", B22)</f>
        <v>MARCOS WILLOW(SCCP)</v>
      </c>
      <c r="AB22" s="61">
        <f>IF(C22 = "", "", C22)</f>
        <v>4</v>
      </c>
      <c r="AC22" s="61" t="str">
        <f ca="1">IF(OR(C22 = "",E22 = ""), "", F22)</f>
        <v>PAULO ROBERTO(SPFC)</v>
      </c>
      <c r="AD22" s="61">
        <f>IF(E22 = "", "", E22)</f>
        <v>2</v>
      </c>
      <c r="AE22" s="61">
        <f>IF(C22 = "", "", C22)</f>
        <v>4</v>
      </c>
    </row>
    <row r="23" spans="1:31" ht="23.25" x14ac:dyDescent="0.35">
      <c r="B23" s="63" t="s">
        <v>94</v>
      </c>
      <c r="C23" s="63"/>
      <c r="D23" s="63"/>
      <c r="E23" s="63"/>
      <c r="F23" s="63"/>
      <c r="G23" s="63"/>
      <c r="H23" s="63"/>
      <c r="U23" s="61" t="s">
        <v>14</v>
      </c>
      <c r="V23" s="61" t="s">
        <v>14</v>
      </c>
      <c r="W23" s="61" t="s">
        <v>15</v>
      </c>
      <c r="X23" s="61" t="s">
        <v>16</v>
      </c>
      <c r="Y23" s="61" t="s">
        <v>16</v>
      </c>
      <c r="Z23" s="61" t="s">
        <v>17</v>
      </c>
      <c r="AA23" s="61" t="s">
        <v>18</v>
      </c>
      <c r="AB23" s="61" t="s">
        <v>19</v>
      </c>
      <c r="AC23" s="61" t="s">
        <v>15</v>
      </c>
      <c r="AD23" s="61" t="s">
        <v>20</v>
      </c>
      <c r="AE23" s="61" t="s">
        <v>21</v>
      </c>
    </row>
    <row r="24" spans="1:31" x14ac:dyDescent="0.25">
      <c r="B24" s="66" t="s">
        <v>88</v>
      </c>
      <c r="C24" s="66"/>
      <c r="D24" s="66"/>
      <c r="E24" s="66"/>
      <c r="F24" s="66"/>
      <c r="G24" s="66"/>
      <c r="H24" s="65" t="s">
        <v>89</v>
      </c>
      <c r="L24" s="64">
        <f>Jogos!K3 + TIME(0,200,0)</f>
        <v>45340.652777777781</v>
      </c>
      <c r="M24" s="68" t="s">
        <v>90</v>
      </c>
      <c r="N24" s="67"/>
      <c r="O24" s="67"/>
      <c r="Q24" s="70" t="s">
        <v>91</v>
      </c>
      <c r="R24" s="69"/>
      <c r="S24" s="69"/>
    </row>
    <row r="25" spans="1:31" x14ac:dyDescent="0.25">
      <c r="A25" s="57">
        <v>3</v>
      </c>
      <c r="B25" s="74" t="str">
        <f ca="1">IFERROR(VLOOKUP($A25,$Q$21:$R$22, 2, FALSE), "")</f>
        <v>MARCOS MATTOS(BF)</v>
      </c>
      <c r="C25" s="75">
        <v>3</v>
      </c>
      <c r="D25" s="71" t="s">
        <v>22</v>
      </c>
      <c r="E25" s="75">
        <v>1</v>
      </c>
      <c r="F25" s="72" t="str">
        <f ca="1">IFERROR(VLOOKUP($G25,$Q$21:$R$22, 2, FALSE), "")</f>
        <v>PAULO ROBERTO(SPFC)</v>
      </c>
      <c r="G25" s="73">
        <v>4</v>
      </c>
      <c r="H25" s="71">
        <v>2</v>
      </c>
      <c r="I25" s="71"/>
      <c r="J25" s="71"/>
      <c r="K25" s="71"/>
      <c r="M25" s="58">
        <f ca="1">IFERROR(_xlfn.RANK.EQ(O25, O25:O25, 0), "")</f>
        <v>1</v>
      </c>
      <c r="N25" s="59" t="str">
        <f ca="1">IF(OR(C25="", E25=""), "", IF(OR(C25&gt;E25, C25=E25), B25, F25))</f>
        <v>MARCOS MATTOS(BF)</v>
      </c>
      <c r="O25" s="58">
        <f ca="1">IF(OR(C25="", E25=""), "", VLOOKUP(N25, ClassGrupFases!$D$6:$P$53, 11, 0))</f>
        <v>87.575602424285719</v>
      </c>
      <c r="Q25" s="57">
        <f ca="1">IFERROR(_xlfn.RANK.EQ(S25, S25:S25, 0) + 1, "")</f>
        <v>2</v>
      </c>
      <c r="R25" s="60" t="str">
        <f ca="1">IF(OR(C25="", E25=""), "", IF(OR(C25&gt;E25, C25=E25), F25, B25))</f>
        <v>PAULO ROBERTO(SPFC)</v>
      </c>
      <c r="S25" s="57">
        <f ca="1">IF(OR(C25="", E25=""), "", VLOOKUP(R25, ClassGrupFases!$D$6:$P$53, 11, 0))</f>
        <v>72.969282918571423</v>
      </c>
      <c r="U25" s="61" t="str">
        <f ca="1">IF(OR(C25 = "",E25 = ""), "", F25)</f>
        <v>PAULO ROBERTO(SPFC)</v>
      </c>
      <c r="W25" s="61" t="str">
        <f ca="1">IF(OR(C25 = "",E25 = ""), "", IF(C25&gt;E25,B25, IF(E25&gt;C25,F25, "")))</f>
        <v>MARCOS MATTOS(BF)</v>
      </c>
      <c r="X25" s="61" t="str">
        <f>IF(OR(C25 = "",E25 = ""), "", IF(C25=E25,B25, ""))</f>
        <v/>
      </c>
      <c r="Y25" s="61" t="str">
        <f>IF(OR(C25 = "",E25 = ""), "", IF(C25=E25,F25, ""))</f>
        <v/>
      </c>
      <c r="Z25" s="61" t="str">
        <f ca="1">IF(OR(C25 = "",E25 = ""), "", IF(C25&gt;E25,F25, IF(E25&gt;C25,B25, "")))</f>
        <v>PAULO ROBERTO(SPFC)</v>
      </c>
      <c r="AA25" s="61" t="str">
        <f ca="1">IF(OR(C25 = "",E25 = ""), "", B25)</f>
        <v>MARCOS MATTOS(BF)</v>
      </c>
      <c r="AB25" s="61">
        <f>IF(C25 = "", "", C25)</f>
        <v>3</v>
      </c>
      <c r="AC25" s="61" t="str">
        <f ca="1">IF(OR(C25 = "",E25 = ""), "", F25)</f>
        <v>PAULO ROBERTO(SPFC)</v>
      </c>
      <c r="AD25" s="61">
        <f>IF(E25 = "", "", E25)</f>
        <v>1</v>
      </c>
      <c r="AE25" s="61">
        <f>IF(C25 = "", "", C25)</f>
        <v>3</v>
      </c>
    </row>
    <row r="26" spans="1:31" ht="23.25" x14ac:dyDescent="0.35">
      <c r="B26" s="63" t="s">
        <v>95</v>
      </c>
      <c r="C26" s="63"/>
      <c r="D26" s="63"/>
      <c r="E26" s="63"/>
      <c r="F26" s="63"/>
      <c r="G26" s="63"/>
      <c r="H26" s="63"/>
      <c r="U26" s="61" t="s">
        <v>14</v>
      </c>
      <c r="V26" s="61" t="s">
        <v>14</v>
      </c>
      <c r="W26" s="61" t="s">
        <v>15</v>
      </c>
      <c r="X26" s="61" t="s">
        <v>16</v>
      </c>
      <c r="Y26" s="61" t="s">
        <v>16</v>
      </c>
      <c r="Z26" s="61" t="s">
        <v>17</v>
      </c>
      <c r="AA26" s="61" t="s">
        <v>18</v>
      </c>
      <c r="AB26" s="61" t="s">
        <v>19</v>
      </c>
      <c r="AC26" s="61" t="s">
        <v>15</v>
      </c>
      <c r="AD26" s="61" t="s">
        <v>20</v>
      </c>
      <c r="AE26" s="61" t="s">
        <v>21</v>
      </c>
    </row>
    <row r="27" spans="1:31" x14ac:dyDescent="0.25">
      <c r="B27" s="66" t="s">
        <v>88</v>
      </c>
      <c r="C27" s="66"/>
      <c r="D27" s="66"/>
      <c r="E27" s="66"/>
      <c r="F27" s="66"/>
      <c r="G27" s="66"/>
      <c r="H27" s="65" t="s">
        <v>89</v>
      </c>
      <c r="L27" s="64">
        <f>Jogos!K3 + TIME(0,200,0)</f>
        <v>45340.652777777781</v>
      </c>
      <c r="M27" s="68" t="s">
        <v>90</v>
      </c>
      <c r="N27" s="67"/>
      <c r="O27" s="67"/>
      <c r="Q27" s="70" t="s">
        <v>91</v>
      </c>
      <c r="R27" s="69"/>
      <c r="S27" s="69"/>
    </row>
    <row r="28" spans="1:31" x14ac:dyDescent="0.25">
      <c r="A28" s="57">
        <v>1</v>
      </c>
      <c r="B28" s="62" t="str">
        <f ca="1">IFERROR(VLOOKUP($A28,$M$21:$N$22, 2, FALSE), "")</f>
        <v>MARCOS WILLOW(SCCP)</v>
      </c>
      <c r="C28" s="75">
        <v>4</v>
      </c>
      <c r="D28" s="34" t="s">
        <v>22</v>
      </c>
      <c r="E28" s="75">
        <v>1</v>
      </c>
      <c r="F28" s="35" t="str">
        <f ca="1">IFERROR(VLOOKUP($G28,$M$21:$N$22, 2, FALSE), "")</f>
        <v>WAGNER(SPFC)</v>
      </c>
      <c r="G28" s="57">
        <v>2</v>
      </c>
      <c r="H28" s="34">
        <v>1</v>
      </c>
      <c r="M28" s="58">
        <f ca="1">IFERROR(_xlfn.RANK.EQ(O28, O28:O28, 0), "")</f>
        <v>1</v>
      </c>
      <c r="N28" s="59" t="str">
        <f ca="1">IF(OR(C28="", E28=""), "", IF(OR(C28&gt;E28, C28=E28), B28, F28))</f>
        <v>MARCOS WILLOW(SCCP)</v>
      </c>
      <c r="O28" s="58">
        <f ca="1">IF(OR(C28="", E28=""), "", VLOOKUP(N28, ClassGrupFases!$D$6:$P$53, 11, 0))</f>
        <v>77.84119212047618</v>
      </c>
      <c r="Q28" s="57">
        <f ca="1">IFERROR(_xlfn.RANK.EQ(S28, S28:S28, 0) + 1, "")</f>
        <v>2</v>
      </c>
      <c r="R28" s="60" t="str">
        <f ca="1">IF(OR(C28="", E28=""), "", IF(OR(C28&gt;E28, C28=E28), F28, B28))</f>
        <v>WAGNER(SPFC)</v>
      </c>
      <c r="S28" s="57">
        <f ca="1">IF(OR(C28="", E28=""), "", VLOOKUP(R28, ClassGrupFases!$D$6:$P$53, 11, 0))</f>
        <v>68.107180386666656</v>
      </c>
      <c r="U28" s="61" t="str">
        <f ca="1">IF(OR(C28 = "",E28 = ""), "", F28)</f>
        <v>WAGNER(SPFC)</v>
      </c>
      <c r="W28" s="61" t="str">
        <f ca="1">IF(OR(C28 = "",E28 = ""), "", IF(C28&gt;E28,B28, IF(E28&gt;C28,F28, "")))</f>
        <v>MARCOS WILLOW(SCCP)</v>
      </c>
      <c r="X28" s="61" t="str">
        <f>IF(OR(C28 = "",E28 = ""), "", IF(C28=E28,B28, ""))</f>
        <v/>
      </c>
      <c r="Y28" s="61" t="str">
        <f>IF(OR(C28 = "",E28 = ""), "", IF(C28=E28,F28, ""))</f>
        <v/>
      </c>
      <c r="Z28" s="61" t="str">
        <f ca="1">IF(OR(C28 = "",E28 = ""), "", IF(C28&gt;E28,F28, IF(E28&gt;C28,B28, "")))</f>
        <v>WAGNER(SPFC)</v>
      </c>
      <c r="AA28" s="61" t="str">
        <f ca="1">IF(OR(C28 = "",E28 = ""), "", B28)</f>
        <v>MARCOS WILLOW(SCCP)</v>
      </c>
      <c r="AB28" s="61">
        <f>IF(C28 = "", "", C28)</f>
        <v>4</v>
      </c>
      <c r="AC28" s="61" t="str">
        <f ca="1">IF(OR(C28 = "",E28 = ""), "", F28)</f>
        <v>WAGNER(SPFC)</v>
      </c>
      <c r="AD28" s="61">
        <f>IF(E28 = "", "", E28)</f>
        <v>1</v>
      </c>
      <c r="AE28" s="61">
        <f>IF(C28 = "", "", C28)</f>
        <v>4</v>
      </c>
    </row>
  </sheetData>
  <sheetProtection sheet="1" objects="1" scenarios="1" selectLockedCells="1"/>
  <phoneticPr fontId="26" type="noConversion"/>
  <pageMargins left="0.7" right="0.7" top="0.75" bottom="0.75" header="0.3" footer="0.3"/>
  <pageSetup paperSize="9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43"/>
  <sheetViews>
    <sheetView showGridLines="0" tabSelected="1" workbookViewId="0">
      <pane xSplit="1" ySplit="3" topLeftCell="B4" activePane="bottomRight" state="frozen"/>
      <selection pane="bottomLeft" activeCell="A4" sqref="A4"/>
      <selection pane="topRight" activeCell="B1" sqref="B1"/>
      <selection pane="bottomRight" activeCell="B3" sqref="B3:C11"/>
    </sheetView>
  </sheetViews>
  <sheetFormatPr defaultColWidth="10.8515625" defaultRowHeight="20.25" x14ac:dyDescent="0.3"/>
  <cols>
    <col min="1" max="1" width="1.84765625" style="76" customWidth="1"/>
    <col min="2" max="2" width="5.91796875" style="89" customWidth="1"/>
    <col min="3" max="3" width="50.92578125" style="78" customWidth="1"/>
    <col min="4" max="16384" width="10.8515625" style="76"/>
  </cols>
  <sheetData>
    <row r="1" spans="2:3" ht="21.75" x14ac:dyDescent="0.3">
      <c r="B1" s="77" t="s">
        <v>97</v>
      </c>
    </row>
    <row r="2" spans="2:3" x14ac:dyDescent="0.3">
      <c r="B2" s="79" t="s">
        <v>1</v>
      </c>
    </row>
    <row r="3" spans="2:3" ht="23.25" x14ac:dyDescent="0.35">
      <c r="B3" s="80" t="s">
        <v>96</v>
      </c>
      <c r="C3" s="80"/>
    </row>
    <row r="4" spans="2:3" x14ac:dyDescent="0.3">
      <c r="B4" s="81" t="s">
        <v>98</v>
      </c>
      <c r="C4" s="82" t="str">
        <f ca="1">IFERROR(INDEX(Finais!N:N,MATCH("Final",Finais!B:B,0)+2),"")</f>
        <v>MARCOS WILLOW(SCCP)</v>
      </c>
    </row>
    <row r="5" spans="2:3" x14ac:dyDescent="0.3">
      <c r="B5" s="81" t="s">
        <v>99</v>
      </c>
      <c r="C5" s="82" t="str">
        <f ca="1">IFERROR(INDEX(Finais!R:R,MATCH("Final",Finais!B:B,0)+2),"")</f>
        <v>WAGNER(SPFC)</v>
      </c>
    </row>
    <row r="6" spans="2:3" x14ac:dyDescent="0.3">
      <c r="B6" s="81" t="s">
        <v>100</v>
      </c>
      <c r="C6" s="82" t="str">
        <f ca="1">IFERROR(INDEX(Finais!N:N,MATCH("Disputa de 3º lugar",Finais!B:B,0)+2),"")</f>
        <v>MARCOS MATTOS(BF)</v>
      </c>
    </row>
    <row r="7" spans="2:3" x14ac:dyDescent="0.3">
      <c r="B7" s="81" t="s">
        <v>101</v>
      </c>
      <c r="C7" s="82" t="str">
        <f ca="1">IFERROR(INDEX(Finais!R:R,MATCH("Disputa de 3º lugar",Finais!B:B,0)+2),"")</f>
        <v>PAULO ROBERTO(SPFC)</v>
      </c>
    </row>
    <row r="8" spans="2:3" x14ac:dyDescent="0.3">
      <c r="B8" s="83" t="s">
        <v>102</v>
      </c>
      <c r="C8" s="84" t="str">
        <f ca="1">IFERROR(VLOOKUP(5,Finais!Q:R,2,FALSE),"")</f>
        <v>GALDEANO(SCCP)</v>
      </c>
    </row>
    <row r="9" spans="2:3" x14ac:dyDescent="0.3">
      <c r="B9" s="83" t="s">
        <v>103</v>
      </c>
      <c r="C9" s="84" t="str">
        <f ca="1">IFERROR(VLOOKUP(6,Finais!Q:R,2,FALSE),"")</f>
        <v>VINICIUS ROLIM(SCCP)</v>
      </c>
    </row>
    <row r="10" spans="2:3" x14ac:dyDescent="0.3">
      <c r="B10" s="83" t="s">
        <v>104</v>
      </c>
      <c r="C10" s="84" t="str">
        <f ca="1">IFERROR(VLOOKUP(7,Finais!Q:R,2,FALSE),"")</f>
        <v>TABAJARA(CEPE)</v>
      </c>
    </row>
    <row r="11" spans="2:3" x14ac:dyDescent="0.3">
      <c r="B11" s="85" t="s">
        <v>105</v>
      </c>
      <c r="C11" s="86" t="str">
        <f ca="1">IFERROR(VLOOKUP(8,Finais!Q:R,2,FALSE),"")</f>
        <v>LUIZ COELHO(MZ)</v>
      </c>
    </row>
    <row r="12" spans="2:3" x14ac:dyDescent="0.3">
      <c r="B12" s="87" t="s">
        <v>106</v>
      </c>
      <c r="C12" s="88" t="str">
        <f ca="1">IFERROR(VLOOKUP(9,Finais!Q:R,2,FALSE),"")</f>
        <v>PABLO MARTINS(SPFC)</v>
      </c>
    </row>
    <row r="13" spans="2:3" x14ac:dyDescent="0.3">
      <c r="B13" s="87" t="s">
        <v>107</v>
      </c>
      <c r="C13" s="88" t="str">
        <f ca="1">IFERROR(VLOOKUP(10,Finais!Q:R,2,FALSE),"")</f>
        <v>RUAS(CEPE)</v>
      </c>
    </row>
    <row r="14" spans="2:3" x14ac:dyDescent="0.3">
      <c r="B14" s="87" t="s">
        <v>108</v>
      </c>
      <c r="C14" s="88" t="str">
        <f ca="1">IFERROR(VLOOKUP(11,Finais!Q:R,2,FALSE),"")</f>
        <v>MARIO MILI(MZ)</v>
      </c>
    </row>
    <row r="15" spans="2:3" x14ac:dyDescent="0.3">
      <c r="B15" s="87" t="s">
        <v>109</v>
      </c>
      <c r="C15" s="88" t="str">
        <f ca="1">IFERROR(VLOOKUP(12,Finais!Q:R,2,FALSE),"")</f>
        <v>AURÉLIO(BF)</v>
      </c>
    </row>
    <row r="16" spans="2:3" x14ac:dyDescent="0.3">
      <c r="B16" s="87" t="s">
        <v>110</v>
      </c>
      <c r="C16" s="88" t="str">
        <f ca="1">IFERROR(VLOOKUP(13,Finais!Q:R,2,FALSE),"")</f>
        <v>RAFAEL BALIEIRO(LTVL)</v>
      </c>
    </row>
    <row r="17" spans="2:3" x14ac:dyDescent="0.3">
      <c r="B17" s="87" t="s">
        <v>111</v>
      </c>
      <c r="C17" s="88" t="str">
        <f ca="1">IFERROR(VLOOKUP(14,Finais!Q:R,2,FALSE),"")</f>
        <v>RODRIGO MORO(SCCP)</v>
      </c>
    </row>
    <row r="18" spans="2:3" x14ac:dyDescent="0.3">
      <c r="B18" s="87" t="s">
        <v>112</v>
      </c>
      <c r="C18" s="88" t="str">
        <f ca="1">IFERROR(VLOOKUP(15,Finais!Q:R,2,FALSE),"")</f>
        <v>FÉLIX(CEPE)</v>
      </c>
    </row>
    <row r="19" spans="2:3" x14ac:dyDescent="0.3">
      <c r="B19" s="87" t="s">
        <v>113</v>
      </c>
      <c r="C19" s="88" t="str">
        <f ca="1">IFERROR(VLOOKUP(16,Finais!Q:R,2,FALSE),"")</f>
        <v>PEPE 2004(CEPE)</v>
      </c>
    </row>
    <row r="20" spans="2:3" x14ac:dyDescent="0.3">
      <c r="B20" s="87" t="s">
        <v>114</v>
      </c>
      <c r="C20" s="88" t="str">
        <f ca="1">IFERROR(VLOOKUP(17,ClassGrupFases!$C$83:$D$106,2,FALSE),"")</f>
        <v>PROFESSOR(LTVL)</v>
      </c>
    </row>
    <row r="21" spans="2:3" x14ac:dyDescent="0.3">
      <c r="B21" s="87" t="s">
        <v>115</v>
      </c>
      <c r="C21" s="88" t="str">
        <f ca="1">IFERROR(VLOOKUP(18,ClassGrupFases!$C$83:$D$106,2,FALSE),"")</f>
        <v>ZÉ LUIZ(SPFC)</v>
      </c>
    </row>
    <row r="22" spans="2:3" x14ac:dyDescent="0.3">
      <c r="B22" s="87" t="s">
        <v>116</v>
      </c>
      <c r="C22" s="88" t="str">
        <f ca="1">IFERROR(VLOOKUP(19,ClassGrupFases!$C$83:$D$106,2,FALSE),"")</f>
        <v>TUPINAMBÁ(LTVL)</v>
      </c>
    </row>
    <row r="23" spans="2:3" x14ac:dyDescent="0.3">
      <c r="B23" s="87" t="s">
        <v>117</v>
      </c>
      <c r="C23" s="88" t="str">
        <f ca="1">IFERROR(VLOOKUP(20,ClassGrupFases!$C$83:$D$106,2,FALSE),"")</f>
        <v>ELSIO(SPFC)</v>
      </c>
    </row>
    <row r="24" spans="2:3" x14ac:dyDescent="0.3">
      <c r="B24" s="87" t="s">
        <v>118</v>
      </c>
      <c r="C24" s="88" t="str">
        <f ca="1">IFERROR(VLOOKUP(21,ClassGrupFases!$C$83:$D$106,2,FALSE),"")</f>
        <v>BRAGHETTO(MZ)</v>
      </c>
    </row>
    <row r="25" spans="2:3" x14ac:dyDescent="0.3">
      <c r="B25" s="87" t="s">
        <v>119</v>
      </c>
      <c r="C25" s="88" t="str">
        <f ca="1">IFERROR(VLOOKUP(22,ClassGrupFases!$C$83:$D$106,2,FALSE),"")</f>
        <v>MARCÃO SILVA(SPFC)</v>
      </c>
    </row>
    <row r="26" spans="2:3" x14ac:dyDescent="0.3">
      <c r="B26" s="87" t="s">
        <v>120</v>
      </c>
      <c r="C26" s="88" t="str">
        <f ca="1">IFERROR(VLOOKUP(23,ClassGrupFases!$C$83:$D$106,2,FALSE),"")</f>
        <v>AUGUSTO(BF)</v>
      </c>
    </row>
    <row r="27" spans="2:3" x14ac:dyDescent="0.3">
      <c r="B27" s="87" t="s">
        <v>121</v>
      </c>
      <c r="C27" s="88" t="str">
        <f ca="1">IFERROR(VLOOKUP(24,ClassGrupFases!$C$83:$D$106,2,FALSE),"")</f>
        <v>ELCIO(LTVL)</v>
      </c>
    </row>
    <row r="28" spans="2:3" x14ac:dyDescent="0.3">
      <c r="B28" s="87" t="s">
        <v>122</v>
      </c>
      <c r="C28" s="88" t="str">
        <f ca="1">IFERROR(VLOOKUP(25,ClassGrupFases!$C$83:$D$106,2,FALSE),"")</f>
        <v>LÉO CARIOCA(MZ)</v>
      </c>
    </row>
    <row r="29" spans="2:3" x14ac:dyDescent="0.3">
      <c r="B29" s="87" t="s">
        <v>123</v>
      </c>
      <c r="C29" s="88" t="str">
        <f ca="1">IFERROR(VLOOKUP(26,ClassGrupFases!$C$83:$D$106,2,FALSE),"")</f>
        <v>DIOGO(CEPE)</v>
      </c>
    </row>
    <row r="30" spans="2:3" x14ac:dyDescent="0.3">
      <c r="B30" s="87" t="s">
        <v>124</v>
      </c>
      <c r="C30" s="88" t="str">
        <f ca="1">IFERROR(VLOOKUP(27,ClassGrupFases!$C$83:$D$106,2,FALSE),"")</f>
        <v>SÉRGIO BARREIRA(SCCP)</v>
      </c>
    </row>
    <row r="31" spans="2:3" x14ac:dyDescent="0.3">
      <c r="B31" s="87" t="s">
        <v>125</v>
      </c>
      <c r="C31" s="88" t="str">
        <f ca="1">IFERROR(VLOOKUP(28,ClassGrupFases!$C$83:$D$106,2,FALSE),"")</f>
        <v>COELHO(SCCP)</v>
      </c>
    </row>
    <row r="32" spans="2:3" x14ac:dyDescent="0.3">
      <c r="B32" s="87" t="s">
        <v>126</v>
      </c>
      <c r="C32" s="88" t="str">
        <f ca="1">IFERROR(VLOOKUP(29,ClassGrupFases!$C$83:$D$106,2,FALSE),"")</f>
        <v>AFONSO(CEPE)</v>
      </c>
    </row>
    <row r="33" spans="2:3" x14ac:dyDescent="0.3">
      <c r="B33" s="87" t="s">
        <v>127</v>
      </c>
      <c r="C33" s="88" t="str">
        <f ca="1">IFERROR(VLOOKUP(30,ClassGrupFases!$C$83:$D$106,2,FALSE),"")</f>
        <v>GUANABARA(LTVL)</v>
      </c>
    </row>
    <row r="34" spans="2:3" x14ac:dyDescent="0.3">
      <c r="B34" s="87" t="s">
        <v>128</v>
      </c>
      <c r="C34" s="88" t="str">
        <f ca="1">IFERROR(VLOOKUP(31,ClassGrupFases!$C$83:$D$106,2,FALSE),"")</f>
        <v>SALLYS(SPFC)</v>
      </c>
    </row>
    <row r="35" spans="2:3" x14ac:dyDescent="0.3">
      <c r="B35" s="87" t="s">
        <v>129</v>
      </c>
      <c r="C35" s="88" t="str">
        <f ca="1">IFERROR(VLOOKUP(32,ClassGrupFases!$C$83:$D$106,2,FALSE),"")</f>
        <v>CLÉO JR (CEPE)</v>
      </c>
    </row>
    <row r="36" spans="2:3" x14ac:dyDescent="0.3">
      <c r="B36" s="87" t="s">
        <v>130</v>
      </c>
      <c r="C36" s="88" t="str">
        <f ca="1">IFERROR(VLOOKUP(33,ClassGrupFases!$C$83:$D$106,2,FALSE),"")</f>
        <v>BERGAMINI(MZ)</v>
      </c>
    </row>
    <row r="37" spans="2:3" x14ac:dyDescent="0.3">
      <c r="B37" s="87" t="s">
        <v>131</v>
      </c>
      <c r="C37" s="88" t="str">
        <f ca="1">IFERROR(VLOOKUP(34,ClassGrupFases!$C$83:$D$106,2,FALSE),"")</f>
        <v>RICARDO RAMALHO(BF)</v>
      </c>
    </row>
    <row r="38" spans="2:3" x14ac:dyDescent="0.3">
      <c r="B38" s="87" t="s">
        <v>132</v>
      </c>
      <c r="C38" s="88" t="str">
        <f ca="1">IFERROR(VLOOKUP(35,ClassGrupFases!$C$83:$D$106,2,FALSE),"")</f>
        <v>CORTEZ(MZ)</v>
      </c>
    </row>
    <row r="39" spans="2:3" x14ac:dyDescent="0.3">
      <c r="B39" s="87" t="s">
        <v>133</v>
      </c>
      <c r="C39" s="88" t="str">
        <f ca="1">IFERROR(VLOOKUP(36,ClassGrupFases!$C$83:$D$106,2,FALSE),"")</f>
        <v>CHARLEAUX(CEPE)</v>
      </c>
    </row>
    <row r="40" spans="2:3" x14ac:dyDescent="0.3">
      <c r="B40" s="87" t="s">
        <v>134</v>
      </c>
      <c r="C40" s="88" t="str">
        <f ca="1">IFERROR(VLOOKUP(37,ClassGrupFases!$C$83:$D$106,2,FALSE),"")</f>
        <v>DJ IURY(BF)</v>
      </c>
    </row>
    <row r="41" spans="2:3" x14ac:dyDescent="0.3">
      <c r="B41" s="87" t="s">
        <v>135</v>
      </c>
      <c r="C41" s="88" t="str">
        <f ca="1">IFERROR(VLOOKUP(38,ClassGrupFases!$C$83:$D$106,2,FALSE),"")</f>
        <v>MARIELCIO(LTVL)</v>
      </c>
    </row>
    <row r="42" spans="2:3" x14ac:dyDescent="0.3">
      <c r="B42" s="87" t="s">
        <v>136</v>
      </c>
      <c r="C42" s="88" t="str">
        <f ca="1">IFERROR(VLOOKUP(39,ClassGrupFases!$C$83:$D$106,2,FALSE),"")</f>
        <v>REGINALDO(SCCP)</v>
      </c>
    </row>
    <row r="43" spans="2:3" x14ac:dyDescent="0.3">
      <c r="B43" s="87" t="s">
        <v>137</v>
      </c>
      <c r="C43" s="88" t="str">
        <f ca="1">IFERROR(VLOOKUP(40,ClassGrupFases!$C$83:$D$106,2,FALSE),"")</f>
        <v>MARIELCINHO(LTVL)</v>
      </c>
    </row>
  </sheetData>
  <sheetProtection sheet="1" objects="1" scenarios="1"/>
  <phoneticPr fontId="26" type="noConversion"/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Equipes</vt:lpstr>
      <vt:lpstr>Grupos</vt:lpstr>
      <vt:lpstr>Jogos</vt:lpstr>
      <vt:lpstr>ClassGrupFases</vt:lpstr>
      <vt:lpstr>Classificação</vt:lpstr>
      <vt:lpstr>Plan1</vt:lpstr>
      <vt:lpstr>Finais</vt:lpstr>
      <vt:lpstr>Premiação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Microsoft Office</dc:creator>
  <cp:lastModifiedBy>FPFM_</cp:lastModifiedBy>
  <cp:lastPrinted>2024-02-18T10:06:25Z</cp:lastPrinted>
  <dcterms:created xsi:type="dcterms:W3CDTF">2024-02-17T23:59:49Z</dcterms:created>
  <dcterms:modified xsi:type="dcterms:W3CDTF">2024-02-18T21:30:07Z</dcterms:modified>
</cp:coreProperties>
</file>