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Dadinho\"/>
    </mc:Choice>
  </mc:AlternateContent>
  <bookViews>
    <workbookView xWindow="-120" yWindow="-120" windowWidth="20730" windowHeight="11760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4" l="1"/>
  <c r="D10" i="4"/>
  <c r="D9" i="4"/>
  <c r="D8" i="4"/>
  <c r="D7" i="4"/>
  <c r="D6" i="4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K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K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V8" i="3"/>
  <c r="W8" i="3"/>
  <c r="T8" i="3"/>
  <c r="R8" i="3"/>
  <c r="Q8" i="3"/>
  <c r="P8" i="3"/>
  <c r="O8" i="3"/>
  <c r="U8" i="3"/>
  <c r="N8" i="3"/>
  <c r="S8" i="3"/>
  <c r="M8" i="3"/>
  <c r="F8" i="3"/>
  <c r="B8" i="3"/>
  <c r="K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9" i="2"/>
  <c r="B8" i="2"/>
  <c r="B7" i="2"/>
  <c r="B6" i="2"/>
  <c r="B5" i="2"/>
  <c r="B4" i="2"/>
  <c r="L9" i="4" l="1"/>
  <c r="I8" i="4"/>
  <c r="G8" i="4"/>
  <c r="H9" i="4"/>
  <c r="J8" i="4"/>
  <c r="I6" i="4"/>
  <c r="K9" i="4"/>
  <c r="M9" i="4" s="1"/>
  <c r="G7" i="4"/>
  <c r="K7" i="4"/>
  <c r="H8" i="4"/>
  <c r="J6" i="4"/>
  <c r="I10" i="4"/>
  <c r="J7" i="4"/>
  <c r="J11" i="4"/>
  <c r="L8" i="4"/>
  <c r="I9" i="4"/>
  <c r="J10" i="4"/>
  <c r="G11" i="4"/>
  <c r="K11" i="4"/>
  <c r="G6" i="4"/>
  <c r="K6" i="4"/>
  <c r="H7" i="4"/>
  <c r="L7" i="4"/>
  <c r="M7" i="4" s="1"/>
  <c r="J9" i="4"/>
  <c r="G10" i="4"/>
  <c r="K10" i="4"/>
  <c r="H11" i="4"/>
  <c r="L11" i="4"/>
  <c r="H6" i="4"/>
  <c r="F6" i="4" s="1"/>
  <c r="L6" i="4"/>
  <c r="I7" i="4"/>
  <c r="G9" i="4"/>
  <c r="H10" i="4"/>
  <c r="L10" i="4"/>
  <c r="I11" i="4"/>
  <c r="K8" i="4"/>
  <c r="F8" i="4"/>
  <c r="E8" i="4" s="1"/>
  <c r="M8" i="4" l="1"/>
  <c r="F10" i="4"/>
  <c r="E10" i="4" s="1"/>
  <c r="M6" i="4"/>
  <c r="F9" i="4"/>
  <c r="F7" i="4"/>
  <c r="E7" i="4" s="1"/>
  <c r="F11" i="4"/>
  <c r="E11" i="4" s="1"/>
  <c r="M10" i="4"/>
  <c r="M11" i="4"/>
  <c r="E6" i="4"/>
  <c r="S2" i="4"/>
  <c r="N8" i="4"/>
  <c r="P8" i="4"/>
  <c r="P10" i="4" l="1"/>
  <c r="P7" i="4"/>
  <c r="N10" i="4"/>
  <c r="E9" i="4"/>
  <c r="N9" i="4" s="1"/>
  <c r="N6" i="4"/>
  <c r="P6" i="4"/>
  <c r="N11" i="4"/>
  <c r="P11" i="4"/>
  <c r="N7" i="4"/>
  <c r="C7" i="4" l="1"/>
  <c r="A7" i="4" s="1"/>
  <c r="C6" i="4"/>
  <c r="C9" i="4"/>
  <c r="A9" i="4" s="1"/>
  <c r="C11" i="4"/>
  <c r="A11" i="4" s="1"/>
  <c r="C10" i="4"/>
  <c r="A10" i="4" s="1"/>
  <c r="P9" i="4"/>
  <c r="Q11" i="4" s="1"/>
  <c r="C8" i="4"/>
  <c r="A8" i="4" s="1"/>
  <c r="Q6" i="4" l="1"/>
  <c r="A6" i="4"/>
  <c r="M8" i="5"/>
  <c r="I7" i="5"/>
  <c r="E6" i="5"/>
  <c r="M4" i="5"/>
  <c r="H9" i="5"/>
  <c r="D8" i="5"/>
  <c r="L6" i="5"/>
  <c r="H5" i="5"/>
  <c r="D4" i="5"/>
  <c r="K8" i="5"/>
  <c r="G7" i="5"/>
  <c r="C6" i="5"/>
  <c r="K4" i="5"/>
  <c r="F9" i="5"/>
  <c r="J6" i="5"/>
  <c r="F5" i="5"/>
  <c r="M9" i="5"/>
  <c r="I8" i="5"/>
  <c r="E7" i="5"/>
  <c r="M5" i="5"/>
  <c r="I4" i="5"/>
  <c r="D9" i="5"/>
  <c r="L7" i="5"/>
  <c r="H6" i="5"/>
  <c r="D5" i="5"/>
  <c r="K9" i="5"/>
  <c r="G8" i="5"/>
  <c r="C7" i="5"/>
  <c r="K5" i="5"/>
  <c r="G4" i="5"/>
  <c r="J7" i="5"/>
  <c r="F6" i="5"/>
  <c r="E9" i="5"/>
  <c r="I6" i="5"/>
  <c r="L9" i="5"/>
  <c r="L5" i="5"/>
  <c r="C9" i="5"/>
  <c r="G6" i="5"/>
  <c r="F8" i="5"/>
  <c r="J5" i="5"/>
  <c r="I9" i="5"/>
  <c r="E8" i="5"/>
  <c r="M6" i="5"/>
  <c r="I5" i="5"/>
  <c r="E4" i="5"/>
  <c r="L8" i="5"/>
  <c r="H7" i="5"/>
  <c r="D6" i="5"/>
  <c r="L4" i="5"/>
  <c r="G9" i="5"/>
  <c r="C8" i="5"/>
  <c r="K6" i="5"/>
  <c r="G5" i="5"/>
  <c r="C4" i="5"/>
  <c r="J8" i="5"/>
  <c r="F7" i="5"/>
  <c r="J4" i="5"/>
  <c r="M7" i="5"/>
  <c r="E5" i="5"/>
  <c r="H8" i="5"/>
  <c r="D7" i="5"/>
  <c r="H4" i="5"/>
  <c r="K7" i="5"/>
  <c r="C5" i="5"/>
  <c r="J9" i="5"/>
  <c r="F4" i="5"/>
  <c r="Q9" i="4"/>
  <c r="Q10" i="4"/>
  <c r="Q8" i="4"/>
  <c r="Q7" i="4"/>
  <c r="B5" i="5" s="1"/>
  <c r="B4" i="5" l="1"/>
  <c r="B9" i="5"/>
  <c r="B6" i="5"/>
  <c r="B7" i="5"/>
  <c r="B8" i="5"/>
</calcChain>
</file>

<file path=xl/sharedStrings.xml><?xml version="1.0" encoding="utf-8"?>
<sst xmlns="http://schemas.openxmlformats.org/spreadsheetml/2006/main" count="155" uniqueCount="41">
  <si>
    <t>1° ETAPA EQUIPES DADINHO FPFM 2023 - 12/02/2023 - Equipes</t>
  </si>
  <si>
    <t>JJFUTMESA - jjoliveirajr@jjfutmesa.com.br</t>
  </si>
  <si>
    <t>1° ETAPA EQUIPES DADINHO FPFM 2023 - 12/02/2023 - Grupos</t>
  </si>
  <si>
    <t>Grupo A</t>
  </si>
  <si>
    <t>1° ETAPA EQUIPES DADINHO FPFM 2023 - 12/02/2023 -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</si>
  <si>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</si>
  <si>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</si>
  <si>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</si>
  <si>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</si>
  <si>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</si>
  <si>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</si>
  <si>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</si>
  <si>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</si>
  <si>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</si>
  <si>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</si>
  <si>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</si>
  <si>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</si>
  <si>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</si>
  <si>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</si>
  <si>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</si>
  <si>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</si>
  <si>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</si>
  <si>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</si>
  <si>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</si>
  <si>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1° ETAPA EQUIPES DADINHO FPFM 2023 - 12/02/2023 -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</si>
  <si>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</si>
  <si>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</si>
  <si>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</si>
  <si>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</si>
  <si>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</si>
  <si>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</si>
  <si>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</si>
  <si>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</si>
  <si>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</si>
  <si>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1° ETAPA EQUIPES DADINHO FPFM 2023 - 12/02/2023 - Classificação</t>
  </si>
  <si>
    <t>S.C.CORINTHIANS PAULISTA - BRANCO</t>
  </si>
  <si>
    <t>S.C.CORINTHIANS PAULISTA - PRETO</t>
  </si>
  <si>
    <t>LITOVALE SJC</t>
  </si>
  <si>
    <t>SAV MARIA ZÉLIA</t>
  </si>
  <si>
    <t>CEPE 2004</t>
  </si>
  <si>
    <t>SÃO PAULO F.C.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</si>
</sst>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\h"/>
    <numFmt numFmtId="165" formatCode="0.0%"/>
    <numFmt numFmtId="166" formatCode="#\º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  <xf numFmtId="0" fontId="11" fillId="6" borderId="0" xfId="0" applyFont="1" applyFill="1" applyAlignment="1">
      <alignment horizontal="left"/>
    </xf>
    <xf numFmtId="0" fontId="8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5" fontId="8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5" fillId="5" borderId="2" xfId="0" applyFont="1" applyFill="1" applyBorder="1" applyAlignment="1" applyProtection="1">
      <alignment horizontal="center"/>
      <protection hidden="1"/>
    </xf>
    <xf numFmtId="0" fontId="16" fillId="6" borderId="2" xfId="0" applyFont="1" applyFill="1" applyBorder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right"/>
      <protection hidden="1"/>
    </xf>
    <xf numFmtId="166" fontId="12" fillId="0" borderId="2" xfId="0" applyNumberFormat="1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left"/>
      <protection hidden="1"/>
    </xf>
    <xf numFmtId="165" fontId="12" fillId="0" borderId="2" xfId="0" applyNumberFormat="1" applyFont="1" applyBorder="1" applyAlignment="1" applyProtection="1">
      <alignment horizontal="right"/>
      <protection hidden="1"/>
    </xf>
    <xf numFmtId="0" fontId="12" fillId="0" borderId="2" xfId="0" applyFont="1" applyBorder="1" applyAlignment="1" applyProtection="1">
      <alignment horizontal="right"/>
      <protection hidden="1"/>
    </xf>
    <xf numFmtId="166" fontId="12" fillId="0" borderId="1" xfId="0" applyNumberFormat="1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left"/>
      <protection hidden="1"/>
    </xf>
    <xf numFmtId="165" fontId="12" fillId="0" borderId="1" xfId="0" applyNumberFormat="1" applyFont="1" applyBorder="1" applyAlignment="1" applyProtection="1">
      <alignment horizontal="right"/>
      <protection hidden="1"/>
    </xf>
    <xf numFmtId="0" fontId="12" fillId="0" borderId="1" xfId="0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35</v>
      </c>
      <c r="C3" s="4">
        <v>6.4357936382293701E-2</v>
      </c>
    </row>
    <row r="4" spans="1:3" x14ac:dyDescent="0.25">
      <c r="A4" s="5">
        <v>2</v>
      </c>
      <c r="B4" s="6" t="s">
        <v>38</v>
      </c>
      <c r="C4" s="4">
        <v>0.7159191370010376</v>
      </c>
    </row>
    <row r="5" spans="1:3" x14ac:dyDescent="0.25">
      <c r="A5" s="5">
        <v>3</v>
      </c>
      <c r="B5" s="6" t="s">
        <v>37</v>
      </c>
      <c r="C5" s="4">
        <v>0.23007708787918091</v>
      </c>
    </row>
    <row r="6" spans="1:3" x14ac:dyDescent="0.25">
      <c r="A6" s="5">
        <v>4</v>
      </c>
      <c r="B6" s="6" t="s">
        <v>36</v>
      </c>
      <c r="C6" s="4">
        <v>0.21876168251037598</v>
      </c>
    </row>
    <row r="7" spans="1:3" x14ac:dyDescent="0.25">
      <c r="A7" s="5">
        <v>5</v>
      </c>
      <c r="B7" s="6" t="s">
        <v>39</v>
      </c>
      <c r="C7" s="4">
        <v>0.50197547674179077</v>
      </c>
    </row>
    <row r="8" spans="1:3" x14ac:dyDescent="0.25">
      <c r="A8" s="5">
        <v>6</v>
      </c>
      <c r="B8" s="6" t="s">
        <v>40</v>
      </c>
      <c r="C8" s="4">
        <v>0.91791331768035889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7" ht="20.25" x14ac:dyDescent="0.3">
      <c r="B1" s="2" t="s">
        <v>2</v>
      </c>
    </row>
    <row r="2" spans="1:7" x14ac:dyDescent="0.25">
      <c r="B2" s="3" t="s">
        <v>1</v>
      </c>
    </row>
    <row r="3" spans="1:7" x14ac:dyDescent="0.25">
      <c r="A3" s="7" t="s">
        <v>3</v>
      </c>
      <c r="E3" s="1">
        <v>1</v>
      </c>
      <c r="F3" s="1">
        <v>2</v>
      </c>
      <c r="G3" s="1">
        <v>3</v>
      </c>
    </row>
    <row r="4" spans="1:7" x14ac:dyDescent="0.25">
      <c r="A4" s="1">
        <v>1</v>
      </c>
      <c r="B4" s="1" t="str">
        <f>VLOOKUP($A4, Equipes!$A$2:$B$8, 2, FALSE)</f>
        <v>S.C.CORINTHIANS PAULISTA - BRANCO</v>
      </c>
      <c r="E4" s="1">
        <v>4</v>
      </c>
      <c r="F4" s="1">
        <v>5</v>
      </c>
      <c r="G4" s="1">
        <v>6</v>
      </c>
    </row>
    <row r="5" spans="1:7" x14ac:dyDescent="0.25">
      <c r="A5" s="1">
        <v>2</v>
      </c>
      <c r="B5" s="1" t="str">
        <f>VLOOKUP($A5, Equipes!$A$2:$B$8, 2, FALSE)</f>
        <v>SAV MARIA ZÉLIA</v>
      </c>
    </row>
    <row r="6" spans="1:7" x14ac:dyDescent="0.25">
      <c r="A6" s="1">
        <v>3</v>
      </c>
      <c r="B6" s="1" t="str">
        <f>VLOOKUP($A6, Equipes!$A$2:$B$8, 2, FALSE)</f>
        <v>LITOVALE SJC</v>
      </c>
    </row>
    <row r="7" spans="1:7" x14ac:dyDescent="0.25">
      <c r="A7" s="1">
        <v>4</v>
      </c>
      <c r="B7" s="1" t="str">
        <f>VLOOKUP($A7, Equipes!$A$2:$B$8, 2, FALSE)</f>
        <v>S.C.CORINTHIANS PAULISTA - PRETO</v>
      </c>
    </row>
    <row r="8" spans="1:7" x14ac:dyDescent="0.25">
      <c r="A8" s="1">
        <v>5</v>
      </c>
      <c r="B8" s="1" t="str">
        <f>VLOOKUP($A8, Equipes!$A$2:$B$8, 2, FALSE)</f>
        <v>CEPE 2004</v>
      </c>
    </row>
    <row r="9" spans="1:7" x14ac:dyDescent="0.25">
      <c r="A9" s="1">
        <v>6</v>
      </c>
      <c r="B9" s="1" t="str">
        <f>VLOOKUP($A9, Equipes!$A$2:$B$8, 2, FALSE)</f>
        <v>SÃO PAULO F.C.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topLeftCell="B1" workbookViewId="0">
      <pane ySplit="2" topLeftCell="A3" activePane="bottomLeft" state="frozen"/>
      <selection activeCell="B1" sqref="B1"/>
      <selection pane="bottomLeft" activeCell="C4" sqref="C4"/>
    </sheetView>
  </sheetViews>
  <sheetFormatPr defaultRowHeight="15.75" x14ac:dyDescent="0.25"/>
  <cols>
    <col min="1" max="1" width="2.7109375" style="8" hidden="1" customWidth="1"/>
    <col min="2" max="2" width="40.7109375" style="9" customWidth="1"/>
    <col min="3" max="5" width="4.7109375" style="10" customWidth="1"/>
    <col min="6" max="6" width="40.7109375" style="11" customWidth="1"/>
    <col min="7" max="7" width="2.7109375" style="8" hidden="1" customWidth="1"/>
    <col min="8" max="10" width="8.7109375" style="9" customWidth="1"/>
    <col min="11" max="11" width="10.7109375" style="9" customWidth="1"/>
    <col min="12" max="12" width="9.140625" style="1"/>
    <col min="13" max="23" width="5.7109375" style="9" hidden="1" customWidth="1"/>
    <col min="24" max="16384" width="9.140625" style="1"/>
  </cols>
  <sheetData>
    <row r="1" spans="1:23" ht="20.25" x14ac:dyDescent="0.3">
      <c r="B1" s="2" t="s">
        <v>4</v>
      </c>
      <c r="M1" s="9" t="s">
        <v>5</v>
      </c>
    </row>
    <row r="2" spans="1:23" x14ac:dyDescent="0.25">
      <c r="B2" s="3" t="s">
        <v>1</v>
      </c>
      <c r="M2" s="9">
        <v>15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44969.375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8">
        <v>1</v>
      </c>
      <c r="B4" s="9" t="str">
        <f>VLOOKUP($A4, Equipes!$A$3:$B$8, 2, FALSE)</f>
        <v>S.C.CORINTHIANS PAULISTA - BRANCO</v>
      </c>
      <c r="C4" s="18">
        <v>2</v>
      </c>
      <c r="D4" s="10" t="s">
        <v>18</v>
      </c>
      <c r="E4" s="18">
        <v>1</v>
      </c>
      <c r="F4" s="11" t="str">
        <f>VLOOKUP($G4, Equipes!$A$3:$B$8, 2, FALSE)</f>
        <v>S.C.CORINTHIANS PAULISTA - PRETO</v>
      </c>
      <c r="G4" s="8">
        <v>4</v>
      </c>
      <c r="H4" s="9">
        <v>3</v>
      </c>
      <c r="I4" s="9" t="s">
        <v>19</v>
      </c>
      <c r="J4" s="9">
        <v>1</v>
      </c>
      <c r="M4" s="9" t="str">
        <f>IF(OR(C4 = "",E4 = ""), "", B4)</f>
        <v>S.C.CORINTHIANS PAULISTA - BRANCO</v>
      </c>
      <c r="N4" s="9" t="str">
        <f>IF(OR(C4 = "",E4 = ""), "", F4)</f>
        <v>S.C.CORINTHIANS PAULISTA - PRETO</v>
      </c>
      <c r="O4" s="9" t="str">
        <f>IF(C4&gt;E4,B4, IF(E4&gt;C4,F4, ""))</f>
        <v>S.C.CORINTHIANS PAULISTA - BRANCO</v>
      </c>
      <c r="P4" s="9" t="str">
        <f>IF(OR(C4 = "",E4 = ""), "", IF(C4=E4,B4, ""))</f>
        <v/>
      </c>
      <c r="Q4" s="9" t="str">
        <f>IF(OR(C4 = "",E4 = ""), "", IF(C4=E4,F4, ""))</f>
        <v/>
      </c>
      <c r="R4" s="9" t="str">
        <f>IF(C4&gt;E4,F4, IF(E4&gt;C4,B4, ""))</f>
        <v>S.C.CORINTHIANS PAULISTA - PRETO</v>
      </c>
      <c r="S4" s="9" t="str">
        <f>IF(OR(C4 = "",E4 = ""), "", B4)</f>
        <v>S.C.CORINTHIANS PAULISTA - BRANCO</v>
      </c>
      <c r="T4" s="9">
        <f>IF(C4 = "", "", C4)</f>
        <v>2</v>
      </c>
      <c r="U4" s="9" t="str">
        <f>IF(OR(C4 = "",E4 = ""), "", F4)</f>
        <v>S.C.CORINTHIANS PAULISTA - PRETO</v>
      </c>
      <c r="V4" s="9">
        <f>IF(E4 = "", "", E4)</f>
        <v>1</v>
      </c>
      <c r="W4" s="9">
        <f>IF(C4 = "", "", C4)</f>
        <v>2</v>
      </c>
    </row>
    <row r="5" spans="1:23" x14ac:dyDescent="0.25">
      <c r="A5" s="8">
        <v>2</v>
      </c>
      <c r="B5" s="19" t="str">
        <f>VLOOKUP($A5, Equipes!$A$3:$B$8, 2, FALSE)</f>
        <v>SAV MARIA ZÉLIA</v>
      </c>
      <c r="C5" s="18">
        <v>2</v>
      </c>
      <c r="D5" s="20" t="s">
        <v>18</v>
      </c>
      <c r="E5" s="18">
        <v>1</v>
      </c>
      <c r="F5" s="21" t="str">
        <f>VLOOKUP($G5, Equipes!$A$3:$B$8, 2, FALSE)</f>
        <v>CEPE 2004</v>
      </c>
      <c r="G5" s="22">
        <v>5</v>
      </c>
      <c r="H5" s="19">
        <v>5</v>
      </c>
      <c r="I5" s="19" t="s">
        <v>19</v>
      </c>
      <c r="J5" s="19">
        <v>1</v>
      </c>
      <c r="K5" s="19"/>
      <c r="M5" s="9" t="str">
        <f>IF(OR(C5 = "",E5 = ""), "", B5)</f>
        <v>SAV MARIA ZÉLIA</v>
      </c>
      <c r="N5" s="9" t="str">
        <f>IF(OR(C5 = "",E5 = ""), "", F5)</f>
        <v>CEPE 2004</v>
      </c>
      <c r="O5" s="9" t="str">
        <f>IF(C5&gt;E5,B5, IF(E5&gt;C5,F5, ""))</f>
        <v>SAV MARIA ZÉLIA</v>
      </c>
      <c r="P5" s="9" t="str">
        <f>IF(OR(C5 = "",E5 = ""), "", IF(C5=E5,B5, ""))</f>
        <v/>
      </c>
      <c r="Q5" s="9" t="str">
        <f>IF(OR(C5 = "",E5 = ""), "", IF(C5=E5,F5, ""))</f>
        <v/>
      </c>
      <c r="R5" s="9" t="str">
        <f>IF(C5&gt;E5,F5, IF(E5&gt;C5,B5, ""))</f>
        <v>CEPE 2004</v>
      </c>
      <c r="S5" s="9" t="str">
        <f>IF(OR(C5 = "",E5 = ""), "", B5)</f>
        <v>SAV MARIA ZÉLIA</v>
      </c>
      <c r="T5" s="9">
        <f>IF(C5 = "", "", C5)</f>
        <v>2</v>
      </c>
      <c r="U5" s="9" t="str">
        <f>IF(OR(C5 = "",E5 = ""), "", F5)</f>
        <v>CEPE 2004</v>
      </c>
      <c r="V5" s="9">
        <f>IF(E5 = "", "", E5)</f>
        <v>1</v>
      </c>
      <c r="W5" s="9">
        <f>IF(C5 = "", "", C5)</f>
        <v>2</v>
      </c>
    </row>
    <row r="6" spans="1:23" x14ac:dyDescent="0.25">
      <c r="A6" s="8">
        <v>3</v>
      </c>
      <c r="B6" s="9" t="str">
        <f>VLOOKUP($A6, Equipes!$A$3:$B$8, 2, FALSE)</f>
        <v>LITOVALE SJC</v>
      </c>
      <c r="C6" s="18">
        <v>0</v>
      </c>
      <c r="D6" s="10" t="s">
        <v>18</v>
      </c>
      <c r="E6" s="18">
        <v>2</v>
      </c>
      <c r="F6" s="11" t="str">
        <f>VLOOKUP($G6, Equipes!$A$3:$B$8, 2, FALSE)</f>
        <v>SÃO PAULO F.C.</v>
      </c>
      <c r="G6" s="8">
        <v>6</v>
      </c>
      <c r="H6" s="9">
        <v>1</v>
      </c>
      <c r="I6" s="9" t="s">
        <v>19</v>
      </c>
      <c r="J6" s="9">
        <v>1</v>
      </c>
      <c r="M6" s="9" t="str">
        <f>IF(OR(C6 = "",E6 = ""), "", B6)</f>
        <v>LITOVALE SJC</v>
      </c>
      <c r="N6" s="9" t="str">
        <f>IF(OR(C6 = "",E6 = ""), "", F6)</f>
        <v>SÃO PAULO F.C.</v>
      </c>
      <c r="O6" s="9" t="str">
        <f>IF(C6&gt;E6,B6, IF(E6&gt;C6,F6, ""))</f>
        <v>SÃO PAULO F.C.</v>
      </c>
      <c r="P6" s="9" t="str">
        <f>IF(OR(C6 = "",E6 = ""), "", IF(C6=E6,B6, ""))</f>
        <v/>
      </c>
      <c r="Q6" s="9" t="str">
        <f>IF(OR(C6 = "",E6 = ""), "", IF(C6=E6,F6, ""))</f>
        <v/>
      </c>
      <c r="R6" s="9" t="str">
        <f>IF(C6&gt;E6,F6, IF(E6&gt;C6,B6, ""))</f>
        <v>LITOVALE SJC</v>
      </c>
      <c r="S6" s="9" t="str">
        <f>IF(OR(C6 = "",E6 = ""), "", B6)</f>
        <v>LITOVALE SJC</v>
      </c>
      <c r="T6" s="9">
        <f>IF(C6 = "", "", C6)</f>
        <v>0</v>
      </c>
      <c r="U6" s="9" t="str">
        <f>IF(OR(C6 = "",E6 = ""), "", F6)</f>
        <v>SÃO PAULO F.C.</v>
      </c>
      <c r="V6" s="9">
        <f>IF(E6 = "", "", E6)</f>
        <v>2</v>
      </c>
      <c r="W6" s="9">
        <f>IF(C6 = "", "", C6)</f>
        <v>0</v>
      </c>
    </row>
    <row r="7" spans="1:23" x14ac:dyDescent="0.25">
      <c r="B7" s="13" t="s">
        <v>20</v>
      </c>
      <c r="C7" s="14"/>
      <c r="D7" s="14"/>
      <c r="E7" s="14"/>
      <c r="F7" s="15"/>
      <c r="G7" s="16"/>
      <c r="H7" s="13" t="s">
        <v>7</v>
      </c>
      <c r="I7" s="13" t="s">
        <v>8</v>
      </c>
      <c r="J7" s="13" t="s">
        <v>9</v>
      </c>
      <c r="K7" s="17">
        <f>K3 + TIME(0,20,0)</f>
        <v>44969.388888888891</v>
      </c>
      <c r="M7" s="12" t="s">
        <v>10</v>
      </c>
      <c r="N7" s="12" t="s">
        <v>10</v>
      </c>
      <c r="O7" s="12" t="s">
        <v>11</v>
      </c>
      <c r="P7" s="12" t="s">
        <v>12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11</v>
      </c>
      <c r="V7" s="12" t="s">
        <v>16</v>
      </c>
      <c r="W7" s="12" t="s">
        <v>17</v>
      </c>
    </row>
    <row r="8" spans="1:23" x14ac:dyDescent="0.25">
      <c r="A8" s="8">
        <v>1</v>
      </c>
      <c r="B8" s="9" t="str">
        <f>VLOOKUP($A8, Equipes!$A$3:$B$8, 2, FALSE)</f>
        <v>S.C.CORINTHIANS PAULISTA - BRANCO</v>
      </c>
      <c r="C8" s="18">
        <v>3</v>
      </c>
      <c r="D8" s="10" t="s">
        <v>18</v>
      </c>
      <c r="E8" s="18">
        <v>1</v>
      </c>
      <c r="F8" s="11" t="str">
        <f>VLOOKUP($G8, Equipes!$A$3:$B$8, 2, FALSE)</f>
        <v>CEPE 2004</v>
      </c>
      <c r="G8" s="8">
        <v>5</v>
      </c>
      <c r="H8" s="9">
        <v>12</v>
      </c>
      <c r="I8" s="9" t="s">
        <v>19</v>
      </c>
      <c r="J8" s="9">
        <v>2</v>
      </c>
      <c r="M8" s="9" t="str">
        <f>IF(OR(C8 = "",E8 = ""), "", B8)</f>
        <v>S.C.CORINTHIANS PAULISTA - BRANCO</v>
      </c>
      <c r="N8" s="9" t="str">
        <f>IF(OR(C8 = "",E8 = ""), "", F8)</f>
        <v>CEPE 2004</v>
      </c>
      <c r="O8" s="9" t="str">
        <f>IF(C8&gt;E8,B8, IF(E8&gt;C8,F8, ""))</f>
        <v>S.C.CORINTHIANS PAULISTA - BRANCO</v>
      </c>
      <c r="P8" s="9" t="str">
        <f>IF(OR(C8 = "",E8 = ""), "", IF(C8=E8,B8, ""))</f>
        <v/>
      </c>
      <c r="Q8" s="9" t="str">
        <f>IF(OR(C8 = "",E8 = ""), "", IF(C8=E8,F8, ""))</f>
        <v/>
      </c>
      <c r="R8" s="9" t="str">
        <f>IF(C8&gt;E8,F8, IF(E8&gt;C8,B8, ""))</f>
        <v>CEPE 2004</v>
      </c>
      <c r="S8" s="9" t="str">
        <f>IF(OR(C8 = "",E8 = ""), "", B8)</f>
        <v>S.C.CORINTHIANS PAULISTA - BRANCO</v>
      </c>
      <c r="T8" s="9">
        <f>IF(C8 = "", "", C8)</f>
        <v>3</v>
      </c>
      <c r="U8" s="9" t="str">
        <f>IF(OR(C8 = "",E8 = ""), "", F8)</f>
        <v>CEPE 2004</v>
      </c>
      <c r="V8" s="9">
        <f>IF(E8 = "", "", E8)</f>
        <v>1</v>
      </c>
      <c r="W8" s="9">
        <f>IF(C8 = "", "", C8)</f>
        <v>3</v>
      </c>
    </row>
    <row r="9" spans="1:23" x14ac:dyDescent="0.25">
      <c r="A9" s="8">
        <v>4</v>
      </c>
      <c r="B9" s="19" t="str">
        <f>VLOOKUP($A9, Equipes!$A$3:$B$8, 2, FALSE)</f>
        <v>S.C.CORINTHIANS PAULISTA - PRETO</v>
      </c>
      <c r="C9" s="18">
        <v>1</v>
      </c>
      <c r="D9" s="20" t="s">
        <v>18</v>
      </c>
      <c r="E9" s="18">
        <v>3</v>
      </c>
      <c r="F9" s="21" t="str">
        <f>VLOOKUP($G9, Equipes!$A$3:$B$8, 2, FALSE)</f>
        <v>SÃO PAULO F.C.</v>
      </c>
      <c r="G9" s="22">
        <v>6</v>
      </c>
      <c r="H9" s="19">
        <v>1</v>
      </c>
      <c r="I9" s="19" t="s">
        <v>19</v>
      </c>
      <c r="J9" s="19">
        <v>2</v>
      </c>
      <c r="K9" s="19"/>
      <c r="M9" s="9" t="str">
        <f>IF(OR(C9 = "",E9 = ""), "", B9)</f>
        <v>S.C.CORINTHIANS PAULISTA - PRETO</v>
      </c>
      <c r="N9" s="9" t="str">
        <f>IF(OR(C9 = "",E9 = ""), "", F9)</f>
        <v>SÃO PAULO F.C.</v>
      </c>
      <c r="O9" s="9" t="str">
        <f>IF(C9&gt;E9,B9, IF(E9&gt;C9,F9, ""))</f>
        <v>SÃO PAULO F.C.</v>
      </c>
      <c r="P9" s="9" t="str">
        <f>IF(OR(C9 = "",E9 = ""), "", IF(C9=E9,B9, ""))</f>
        <v/>
      </c>
      <c r="Q9" s="9" t="str">
        <f>IF(OR(C9 = "",E9 = ""), "", IF(C9=E9,F9, ""))</f>
        <v/>
      </c>
      <c r="R9" s="9" t="str">
        <f>IF(C9&gt;E9,F9, IF(E9&gt;C9,B9, ""))</f>
        <v>S.C.CORINTHIANS PAULISTA - PRETO</v>
      </c>
      <c r="S9" s="9" t="str">
        <f>IF(OR(C9 = "",E9 = ""), "", B9)</f>
        <v>S.C.CORINTHIANS PAULISTA - PRETO</v>
      </c>
      <c r="T9" s="9">
        <f>IF(C9 = "", "", C9)</f>
        <v>1</v>
      </c>
      <c r="U9" s="9" t="str">
        <f>IF(OR(C9 = "",E9 = ""), "", F9)</f>
        <v>SÃO PAULO F.C.</v>
      </c>
      <c r="V9" s="9">
        <f>IF(E9 = "", "", E9)</f>
        <v>3</v>
      </c>
      <c r="W9" s="9">
        <f>IF(C9 = "", "", C9)</f>
        <v>1</v>
      </c>
    </row>
    <row r="10" spans="1:23" x14ac:dyDescent="0.25">
      <c r="A10" s="8">
        <v>2</v>
      </c>
      <c r="B10" s="9" t="str">
        <f>VLOOKUP($A10, Equipes!$A$3:$B$8, 2, FALSE)</f>
        <v>SAV MARIA ZÉLIA</v>
      </c>
      <c r="C10" s="18">
        <v>1</v>
      </c>
      <c r="D10" s="10" t="s">
        <v>18</v>
      </c>
      <c r="E10" s="18">
        <v>1</v>
      </c>
      <c r="F10" s="11" t="str">
        <f>VLOOKUP($G10, Equipes!$A$3:$B$8, 2, FALSE)</f>
        <v>LITOVALE SJC</v>
      </c>
      <c r="G10" s="8">
        <v>3</v>
      </c>
      <c r="H10" s="9">
        <v>6</v>
      </c>
      <c r="I10" s="9" t="s">
        <v>19</v>
      </c>
      <c r="J10" s="9">
        <v>2</v>
      </c>
      <c r="M10" s="9" t="str">
        <f>IF(OR(C10 = "",E10 = ""), "", B10)</f>
        <v>SAV MARIA ZÉLIA</v>
      </c>
      <c r="N10" s="9" t="str">
        <f>IF(OR(C10 = "",E10 = ""), "", F10)</f>
        <v>LITOVALE SJC</v>
      </c>
      <c r="O10" s="9" t="str">
        <f>IF(C10&gt;E10,B10, IF(E10&gt;C10,F10, ""))</f>
        <v/>
      </c>
      <c r="P10" s="9" t="str">
        <f>IF(OR(C10 = "",E10 = ""), "", IF(C10=E10,B10, ""))</f>
        <v>SAV MARIA ZÉLIA</v>
      </c>
      <c r="Q10" s="9" t="str">
        <f>IF(OR(C10 = "",E10 = ""), "", IF(C10=E10,F10, ""))</f>
        <v>LITOVALE SJC</v>
      </c>
      <c r="R10" s="9" t="str">
        <f>IF(C10&gt;E10,F10, IF(E10&gt;C10,B10, ""))</f>
        <v/>
      </c>
      <c r="S10" s="9" t="str">
        <f>IF(OR(C10 = "",E10 = ""), "", B10)</f>
        <v>SAV MARIA ZÉLIA</v>
      </c>
      <c r="T10" s="9">
        <f>IF(C10 = "", "", C10)</f>
        <v>1</v>
      </c>
      <c r="U10" s="9" t="str">
        <f>IF(OR(C10 = "",E10 = ""), "", F10)</f>
        <v>LITOVALE SJC</v>
      </c>
      <c r="V10" s="9">
        <f>IF(E10 = "", "", E10)</f>
        <v>1</v>
      </c>
      <c r="W10" s="9">
        <f>IF(C10 = "", "", C10)</f>
        <v>1</v>
      </c>
    </row>
    <row r="11" spans="1:23" x14ac:dyDescent="0.25">
      <c r="B11" s="13" t="s">
        <v>21</v>
      </c>
      <c r="C11" s="14"/>
      <c r="D11" s="14"/>
      <c r="E11" s="14"/>
      <c r="F11" s="15"/>
      <c r="G11" s="16"/>
      <c r="H11" s="13" t="s">
        <v>7</v>
      </c>
      <c r="I11" s="13" t="s">
        <v>8</v>
      </c>
      <c r="J11" s="13" t="s">
        <v>9</v>
      </c>
      <c r="K11" s="17">
        <f>K3 + TIME(0,40,0)</f>
        <v>44969.402777777781</v>
      </c>
      <c r="M11" s="12" t="s">
        <v>10</v>
      </c>
      <c r="N11" s="12" t="s">
        <v>10</v>
      </c>
      <c r="O11" s="12" t="s">
        <v>11</v>
      </c>
      <c r="P11" s="12" t="s">
        <v>12</v>
      </c>
      <c r="Q11" s="12" t="s">
        <v>12</v>
      </c>
      <c r="R11" s="12" t="s">
        <v>13</v>
      </c>
      <c r="S11" s="12" t="s">
        <v>14</v>
      </c>
      <c r="T11" s="12" t="s">
        <v>15</v>
      </c>
      <c r="U11" s="12" t="s">
        <v>11</v>
      </c>
      <c r="V11" s="12" t="s">
        <v>16</v>
      </c>
      <c r="W11" s="12" t="s">
        <v>17</v>
      </c>
    </row>
    <row r="12" spans="1:23" x14ac:dyDescent="0.25">
      <c r="A12" s="8">
        <v>1</v>
      </c>
      <c r="B12" s="9" t="str">
        <f>VLOOKUP($A12, Equipes!$A$3:$B$8, 2, FALSE)</f>
        <v>S.C.CORINTHIANS PAULISTA - BRANCO</v>
      </c>
      <c r="C12" s="18">
        <v>2</v>
      </c>
      <c r="D12" s="10" t="s">
        <v>18</v>
      </c>
      <c r="E12" s="18">
        <v>1</v>
      </c>
      <c r="F12" s="11" t="str">
        <f>VLOOKUP($G12, Equipes!$A$3:$B$8, 2, FALSE)</f>
        <v>SÃO PAULO F.C.</v>
      </c>
      <c r="G12" s="8">
        <v>6</v>
      </c>
      <c r="H12" s="9">
        <v>7</v>
      </c>
      <c r="I12" s="9" t="s">
        <v>19</v>
      </c>
      <c r="J12" s="9">
        <v>3</v>
      </c>
      <c r="M12" s="9" t="str">
        <f>IF(OR(C12 = "",E12 = ""), "", B12)</f>
        <v>S.C.CORINTHIANS PAULISTA - BRANCO</v>
      </c>
      <c r="N12" s="9" t="str">
        <f>IF(OR(C12 = "",E12 = ""), "", F12)</f>
        <v>SÃO PAULO F.C.</v>
      </c>
      <c r="O12" s="9" t="str">
        <f>IF(C12&gt;E12,B12, IF(E12&gt;C12,F12, ""))</f>
        <v>S.C.CORINTHIANS PAULISTA - BRANCO</v>
      </c>
      <c r="P12" s="9" t="str">
        <f>IF(OR(C12 = "",E12 = ""), "", IF(C12=E12,B12, ""))</f>
        <v/>
      </c>
      <c r="Q12" s="9" t="str">
        <f>IF(OR(C12 = "",E12 = ""), "", IF(C12=E12,F12, ""))</f>
        <v/>
      </c>
      <c r="R12" s="9" t="str">
        <f>IF(C12&gt;E12,F12, IF(E12&gt;C12,B12, ""))</f>
        <v>SÃO PAULO F.C.</v>
      </c>
      <c r="S12" s="9" t="str">
        <f>IF(OR(C12 = "",E12 = ""), "", B12)</f>
        <v>S.C.CORINTHIANS PAULISTA - BRANCO</v>
      </c>
      <c r="T12" s="9">
        <f>IF(C12 = "", "", C12)</f>
        <v>2</v>
      </c>
      <c r="U12" s="9" t="str">
        <f>IF(OR(C12 = "",E12 = ""), "", F12)</f>
        <v>SÃO PAULO F.C.</v>
      </c>
      <c r="V12" s="9">
        <f>IF(E12 = "", "", E12)</f>
        <v>1</v>
      </c>
      <c r="W12" s="9">
        <f>IF(C12 = "", "", C12)</f>
        <v>2</v>
      </c>
    </row>
    <row r="13" spans="1:23" x14ac:dyDescent="0.25">
      <c r="A13" s="8">
        <v>5</v>
      </c>
      <c r="B13" s="19" t="str">
        <f>VLOOKUP($A13, Equipes!$A$3:$B$8, 2, FALSE)</f>
        <v>CEPE 2004</v>
      </c>
      <c r="C13" s="18">
        <v>2</v>
      </c>
      <c r="D13" s="20" t="s">
        <v>18</v>
      </c>
      <c r="E13" s="18">
        <v>0</v>
      </c>
      <c r="F13" s="21" t="str">
        <f>VLOOKUP($G13, Equipes!$A$3:$B$8, 2, FALSE)</f>
        <v>LITOVALE SJC</v>
      </c>
      <c r="G13" s="22">
        <v>3</v>
      </c>
      <c r="H13" s="19">
        <v>9</v>
      </c>
      <c r="I13" s="19" t="s">
        <v>19</v>
      </c>
      <c r="J13" s="19">
        <v>3</v>
      </c>
      <c r="K13" s="19"/>
      <c r="M13" s="9" t="str">
        <f>IF(OR(C13 = "",E13 = ""), "", B13)</f>
        <v>CEPE 2004</v>
      </c>
      <c r="N13" s="9" t="str">
        <f>IF(OR(C13 = "",E13 = ""), "", F13)</f>
        <v>LITOVALE SJC</v>
      </c>
      <c r="O13" s="9" t="str">
        <f>IF(C13&gt;E13,B13, IF(E13&gt;C13,F13, ""))</f>
        <v>CEPE 2004</v>
      </c>
      <c r="P13" s="9" t="str">
        <f>IF(OR(C13 = "",E13 = ""), "", IF(C13=E13,B13, ""))</f>
        <v/>
      </c>
      <c r="Q13" s="9" t="str">
        <f>IF(OR(C13 = "",E13 = ""), "", IF(C13=E13,F13, ""))</f>
        <v/>
      </c>
      <c r="R13" s="9" t="str">
        <f>IF(C13&gt;E13,F13, IF(E13&gt;C13,B13, ""))</f>
        <v>LITOVALE SJC</v>
      </c>
      <c r="S13" s="9" t="str">
        <f>IF(OR(C13 = "",E13 = ""), "", B13)</f>
        <v>CEPE 2004</v>
      </c>
      <c r="T13" s="9">
        <f>IF(C13 = "", "", C13)</f>
        <v>2</v>
      </c>
      <c r="U13" s="9" t="str">
        <f>IF(OR(C13 = "",E13 = ""), "", F13)</f>
        <v>LITOVALE SJC</v>
      </c>
      <c r="V13" s="9">
        <f>IF(E13 = "", "", E13)</f>
        <v>0</v>
      </c>
      <c r="W13" s="9">
        <f>IF(C13 = "", "", C13)</f>
        <v>2</v>
      </c>
    </row>
    <row r="14" spans="1:23" x14ac:dyDescent="0.25">
      <c r="A14" s="8">
        <v>4</v>
      </c>
      <c r="B14" s="9" t="str">
        <f>VLOOKUP($A14, Equipes!$A$3:$B$8, 2, FALSE)</f>
        <v>S.C.CORINTHIANS PAULISTA - PRETO</v>
      </c>
      <c r="C14" s="18">
        <v>0</v>
      </c>
      <c r="D14" s="10" t="s">
        <v>18</v>
      </c>
      <c r="E14" s="18">
        <v>2</v>
      </c>
      <c r="F14" s="11" t="str">
        <f>VLOOKUP($G14, Equipes!$A$3:$B$8, 2, FALSE)</f>
        <v>SAV MARIA ZÉLIA</v>
      </c>
      <c r="G14" s="8">
        <v>2</v>
      </c>
      <c r="H14" s="9">
        <v>11</v>
      </c>
      <c r="I14" s="9" t="s">
        <v>19</v>
      </c>
      <c r="J14" s="9">
        <v>3</v>
      </c>
      <c r="M14" s="9" t="str">
        <f>IF(OR(C14 = "",E14 = ""), "", B14)</f>
        <v>S.C.CORINTHIANS PAULISTA - PRETO</v>
      </c>
      <c r="N14" s="9" t="str">
        <f>IF(OR(C14 = "",E14 = ""), "", F14)</f>
        <v>SAV MARIA ZÉLIA</v>
      </c>
      <c r="O14" s="9" t="str">
        <f>IF(C14&gt;E14,B14, IF(E14&gt;C14,F14, ""))</f>
        <v>SAV MARIA ZÉLIA</v>
      </c>
      <c r="P14" s="9" t="str">
        <f>IF(OR(C14 = "",E14 = ""), "", IF(C14=E14,B14, ""))</f>
        <v/>
      </c>
      <c r="Q14" s="9" t="str">
        <f>IF(OR(C14 = "",E14 = ""), "", IF(C14=E14,F14, ""))</f>
        <v/>
      </c>
      <c r="R14" s="9" t="str">
        <f>IF(C14&gt;E14,F14, IF(E14&gt;C14,B14, ""))</f>
        <v>S.C.CORINTHIANS PAULISTA - PRETO</v>
      </c>
      <c r="S14" s="9" t="str">
        <f>IF(OR(C14 = "",E14 = ""), "", B14)</f>
        <v>S.C.CORINTHIANS PAULISTA - PRETO</v>
      </c>
      <c r="T14" s="9">
        <f>IF(C14 = "", "", C14)</f>
        <v>0</v>
      </c>
      <c r="U14" s="9" t="str">
        <f>IF(OR(C14 = "",E14 = ""), "", F14)</f>
        <v>SAV MARIA ZÉLIA</v>
      </c>
      <c r="V14" s="9">
        <f>IF(E14 = "", "", E14)</f>
        <v>2</v>
      </c>
      <c r="W14" s="9">
        <f>IF(C14 = "", "", C14)</f>
        <v>0</v>
      </c>
    </row>
    <row r="15" spans="1:23" x14ac:dyDescent="0.25">
      <c r="B15" s="13" t="s">
        <v>22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TIME(0,60,0)</f>
        <v>44969.416666666664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8">
        <v>1</v>
      </c>
      <c r="B16" s="9" t="str">
        <f>VLOOKUP($A16, Equipes!$A$3:$B$8, 2, FALSE)</f>
        <v>S.C.CORINTHIANS PAULISTA - BRANCO</v>
      </c>
      <c r="C16" s="18">
        <v>2</v>
      </c>
      <c r="D16" s="10" t="s">
        <v>18</v>
      </c>
      <c r="E16" s="18">
        <v>1</v>
      </c>
      <c r="F16" s="11" t="str">
        <f>VLOOKUP($G16, Equipes!$A$3:$B$8, 2, FALSE)</f>
        <v>LITOVALE SJC</v>
      </c>
      <c r="G16" s="8">
        <v>3</v>
      </c>
      <c r="H16" s="9">
        <v>8</v>
      </c>
      <c r="I16" s="9" t="s">
        <v>19</v>
      </c>
      <c r="J16" s="9">
        <v>4</v>
      </c>
      <c r="M16" s="9" t="str">
        <f>IF(OR(C16 = "",E16 = ""), "", B16)</f>
        <v>S.C.CORINTHIANS PAULISTA - BRANCO</v>
      </c>
      <c r="N16" s="9" t="str">
        <f>IF(OR(C16 = "",E16 = ""), "", F16)</f>
        <v>LITOVALE SJC</v>
      </c>
      <c r="O16" s="9" t="str">
        <f>IF(C16&gt;E16,B16, IF(E16&gt;C16,F16, ""))</f>
        <v>S.C.CORINTHIANS PAULISTA - BRANCO</v>
      </c>
      <c r="P16" s="9" t="str">
        <f>IF(OR(C16 = "",E16 = ""), "", IF(C16=E16,B16, ""))</f>
        <v/>
      </c>
      <c r="Q16" s="9" t="str">
        <f>IF(OR(C16 = "",E16 = ""), "", IF(C16=E16,F16, ""))</f>
        <v/>
      </c>
      <c r="R16" s="9" t="str">
        <f>IF(C16&gt;E16,F16, IF(E16&gt;C16,B16, ""))</f>
        <v>LITOVALE SJC</v>
      </c>
      <c r="S16" s="9" t="str">
        <f>IF(OR(C16 = "",E16 = ""), "", B16)</f>
        <v>S.C.CORINTHIANS PAULISTA - BRANCO</v>
      </c>
      <c r="T16" s="9">
        <f>IF(C16 = "", "", C16)</f>
        <v>2</v>
      </c>
      <c r="U16" s="9" t="str">
        <f>IF(OR(C16 = "",E16 = ""), "", F16)</f>
        <v>LITOVALE SJC</v>
      </c>
      <c r="V16" s="9">
        <f>IF(E16 = "", "", E16)</f>
        <v>1</v>
      </c>
      <c r="W16" s="9">
        <f>IF(C16 = "", "", C16)</f>
        <v>2</v>
      </c>
    </row>
    <row r="17" spans="1:23" x14ac:dyDescent="0.25">
      <c r="A17" s="8">
        <v>6</v>
      </c>
      <c r="B17" s="19" t="str">
        <f>VLOOKUP($A17, Equipes!$A$3:$B$8, 2, FALSE)</f>
        <v>SÃO PAULO F.C.</v>
      </c>
      <c r="C17" s="18">
        <v>1</v>
      </c>
      <c r="D17" s="20" t="s">
        <v>18</v>
      </c>
      <c r="E17" s="18">
        <v>2</v>
      </c>
      <c r="F17" s="21" t="str">
        <f>VLOOKUP($G17, Equipes!$A$3:$B$8, 2, FALSE)</f>
        <v>SAV MARIA ZÉLIA</v>
      </c>
      <c r="G17" s="22">
        <v>2</v>
      </c>
      <c r="H17" s="19">
        <v>11</v>
      </c>
      <c r="I17" s="19" t="s">
        <v>19</v>
      </c>
      <c r="J17" s="19">
        <v>4</v>
      </c>
      <c r="K17" s="19"/>
      <c r="M17" s="9" t="str">
        <f>IF(OR(C17 = "",E17 = ""), "", B17)</f>
        <v>SÃO PAULO F.C.</v>
      </c>
      <c r="N17" s="9" t="str">
        <f>IF(OR(C17 = "",E17 = ""), "", F17)</f>
        <v>SAV MARIA ZÉLIA</v>
      </c>
      <c r="O17" s="9" t="str">
        <f>IF(C17&gt;E17,B17, IF(E17&gt;C17,F17, ""))</f>
        <v>SAV MARIA ZÉLIA</v>
      </c>
      <c r="P17" s="9" t="str">
        <f>IF(OR(C17 = "",E17 = ""), "", IF(C17=E17,B17, ""))</f>
        <v/>
      </c>
      <c r="Q17" s="9" t="str">
        <f>IF(OR(C17 = "",E17 = ""), "", IF(C17=E17,F17, ""))</f>
        <v/>
      </c>
      <c r="R17" s="9" t="str">
        <f>IF(C17&gt;E17,F17, IF(E17&gt;C17,B17, ""))</f>
        <v>SÃO PAULO F.C.</v>
      </c>
      <c r="S17" s="9" t="str">
        <f>IF(OR(C17 = "",E17 = ""), "", B17)</f>
        <v>SÃO PAULO F.C.</v>
      </c>
      <c r="T17" s="9">
        <f>IF(C17 = "", "", C17)</f>
        <v>1</v>
      </c>
      <c r="U17" s="9" t="str">
        <f>IF(OR(C17 = "",E17 = ""), "", F17)</f>
        <v>SAV MARIA ZÉLIA</v>
      </c>
      <c r="V17" s="9">
        <f>IF(E17 = "", "", E17)</f>
        <v>2</v>
      </c>
      <c r="W17" s="9">
        <f>IF(C17 = "", "", C17)</f>
        <v>1</v>
      </c>
    </row>
    <row r="18" spans="1:23" x14ac:dyDescent="0.25">
      <c r="A18" s="8">
        <v>5</v>
      </c>
      <c r="B18" s="9" t="str">
        <f>VLOOKUP($A18, Equipes!$A$3:$B$8, 2, FALSE)</f>
        <v>CEPE 2004</v>
      </c>
      <c r="C18" s="18">
        <v>2</v>
      </c>
      <c r="D18" s="10" t="s">
        <v>18</v>
      </c>
      <c r="E18" s="18">
        <v>1</v>
      </c>
      <c r="F18" s="11" t="str">
        <f>VLOOKUP($G18, Equipes!$A$3:$B$8, 2, FALSE)</f>
        <v>S.C.CORINTHIANS PAULISTA - PRETO</v>
      </c>
      <c r="G18" s="8">
        <v>4</v>
      </c>
      <c r="H18" s="9">
        <v>9</v>
      </c>
      <c r="I18" s="9" t="s">
        <v>19</v>
      </c>
      <c r="J18" s="9">
        <v>4</v>
      </c>
      <c r="M18" s="9" t="str">
        <f>IF(OR(C18 = "",E18 = ""), "", B18)</f>
        <v>CEPE 2004</v>
      </c>
      <c r="N18" s="9" t="str">
        <f>IF(OR(C18 = "",E18 = ""), "", F18)</f>
        <v>S.C.CORINTHIANS PAULISTA - PRETO</v>
      </c>
      <c r="O18" s="9" t="str">
        <f>IF(C18&gt;E18,B18, IF(E18&gt;C18,F18, ""))</f>
        <v>CEPE 2004</v>
      </c>
      <c r="P18" s="9" t="str">
        <f>IF(OR(C18 = "",E18 = ""), "", IF(C18=E18,B18, ""))</f>
        <v/>
      </c>
      <c r="Q18" s="9" t="str">
        <f>IF(OR(C18 = "",E18 = ""), "", IF(C18=E18,F18, ""))</f>
        <v/>
      </c>
      <c r="R18" s="9" t="str">
        <f>IF(C18&gt;E18,F18, IF(E18&gt;C18,B18, ""))</f>
        <v>S.C.CORINTHIANS PAULISTA - PRETO</v>
      </c>
      <c r="S18" s="9" t="str">
        <f>IF(OR(C18 = "",E18 = ""), "", B18)</f>
        <v>CEPE 2004</v>
      </c>
      <c r="T18" s="9">
        <f>IF(C18 = "", "", C18)</f>
        <v>2</v>
      </c>
      <c r="U18" s="9" t="str">
        <f>IF(OR(C18 = "",E18 = ""), "", F18)</f>
        <v>S.C.CORINTHIANS PAULISTA - PRETO</v>
      </c>
      <c r="V18" s="9">
        <f>IF(E18 = "", "", E18)</f>
        <v>1</v>
      </c>
      <c r="W18" s="9">
        <f>IF(C18 = "", "", C18)</f>
        <v>2</v>
      </c>
    </row>
    <row r="19" spans="1:23" x14ac:dyDescent="0.25">
      <c r="B19" s="13" t="s">
        <v>23</v>
      </c>
      <c r="C19" s="14"/>
      <c r="D19" s="14"/>
      <c r="E19" s="14"/>
      <c r="F19" s="15"/>
      <c r="G19" s="16"/>
      <c r="H19" s="13" t="s">
        <v>7</v>
      </c>
      <c r="I19" s="13" t="s">
        <v>8</v>
      </c>
      <c r="J19" s="13" t="s">
        <v>9</v>
      </c>
      <c r="K19" s="17">
        <f>K3 + TIME(0,80,0)</f>
        <v>44969.430555555555</v>
      </c>
      <c r="M19" s="12" t="s">
        <v>10</v>
      </c>
      <c r="N19" s="12" t="s">
        <v>10</v>
      </c>
      <c r="O19" s="12" t="s">
        <v>11</v>
      </c>
      <c r="P19" s="12" t="s">
        <v>12</v>
      </c>
      <c r="Q19" s="12" t="s">
        <v>12</v>
      </c>
      <c r="R19" s="12" t="s">
        <v>13</v>
      </c>
      <c r="S19" s="12" t="s">
        <v>14</v>
      </c>
      <c r="T19" s="12" t="s">
        <v>15</v>
      </c>
      <c r="U19" s="12" t="s">
        <v>11</v>
      </c>
      <c r="V19" s="12" t="s">
        <v>16</v>
      </c>
      <c r="W19" s="12" t="s">
        <v>17</v>
      </c>
    </row>
    <row r="20" spans="1:23" x14ac:dyDescent="0.25">
      <c r="A20" s="8">
        <v>1</v>
      </c>
      <c r="B20" s="9" t="str">
        <f>VLOOKUP($A20, Equipes!$A$3:$B$8, 2, FALSE)</f>
        <v>S.C.CORINTHIANS PAULISTA - BRANCO</v>
      </c>
      <c r="C20" s="18">
        <v>4</v>
      </c>
      <c r="D20" s="10" t="s">
        <v>18</v>
      </c>
      <c r="E20" s="18">
        <v>0</v>
      </c>
      <c r="F20" s="11" t="str">
        <f>VLOOKUP($G20, Equipes!$A$3:$B$8, 2, FALSE)</f>
        <v>SAV MARIA ZÉLIA</v>
      </c>
      <c r="G20" s="8">
        <v>2</v>
      </c>
      <c r="H20" s="9">
        <v>11</v>
      </c>
      <c r="I20" s="9" t="s">
        <v>19</v>
      </c>
      <c r="J20" s="9">
        <v>5</v>
      </c>
      <c r="M20" s="9" t="str">
        <f>IF(OR(C20 = "",E20 = ""), "", B20)</f>
        <v>S.C.CORINTHIANS PAULISTA - BRANCO</v>
      </c>
      <c r="N20" s="9" t="str">
        <f>IF(OR(C20 = "",E20 = ""), "", F20)</f>
        <v>SAV MARIA ZÉLIA</v>
      </c>
      <c r="O20" s="9" t="str">
        <f>IF(C20&gt;E20,B20, IF(E20&gt;C20,F20, ""))</f>
        <v>S.C.CORINTHIANS PAULISTA - BRANCO</v>
      </c>
      <c r="P20" s="9" t="str">
        <f>IF(OR(C20 = "",E20 = ""), "", IF(C20=E20,B20, ""))</f>
        <v/>
      </c>
      <c r="Q20" s="9" t="str">
        <f>IF(OR(C20 = "",E20 = ""), "", IF(C20=E20,F20, ""))</f>
        <v/>
      </c>
      <c r="R20" s="9" t="str">
        <f>IF(C20&gt;E20,F20, IF(E20&gt;C20,B20, ""))</f>
        <v>SAV MARIA ZÉLIA</v>
      </c>
      <c r="S20" s="9" t="str">
        <f>IF(OR(C20 = "",E20 = ""), "", B20)</f>
        <v>S.C.CORINTHIANS PAULISTA - BRANCO</v>
      </c>
      <c r="T20" s="9">
        <f>IF(C20 = "", "", C20)</f>
        <v>4</v>
      </c>
      <c r="U20" s="9" t="str">
        <f>IF(OR(C20 = "",E20 = ""), "", F20)</f>
        <v>SAV MARIA ZÉLIA</v>
      </c>
      <c r="V20" s="9">
        <f>IF(E20 = "", "", E20)</f>
        <v>0</v>
      </c>
      <c r="W20" s="9">
        <f>IF(C20 = "", "", C20)</f>
        <v>4</v>
      </c>
    </row>
    <row r="21" spans="1:23" x14ac:dyDescent="0.25">
      <c r="A21" s="8">
        <v>3</v>
      </c>
      <c r="B21" s="19" t="str">
        <f>VLOOKUP($A21, Equipes!$A$3:$B$8, 2, FALSE)</f>
        <v>LITOVALE SJC</v>
      </c>
      <c r="C21" s="18">
        <v>0</v>
      </c>
      <c r="D21" s="20" t="s">
        <v>18</v>
      </c>
      <c r="E21" s="18">
        <v>2</v>
      </c>
      <c r="F21" s="21" t="str">
        <f>VLOOKUP($G21, Equipes!$A$3:$B$8, 2, FALSE)</f>
        <v>S.C.CORINTHIANS PAULISTA - PRETO</v>
      </c>
      <c r="G21" s="22">
        <v>4</v>
      </c>
      <c r="H21" s="19">
        <v>2</v>
      </c>
      <c r="I21" s="19" t="s">
        <v>19</v>
      </c>
      <c r="J21" s="19">
        <v>5</v>
      </c>
      <c r="K21" s="19"/>
      <c r="M21" s="9" t="str">
        <f>IF(OR(C21 = "",E21 = ""), "", B21)</f>
        <v>LITOVALE SJC</v>
      </c>
      <c r="N21" s="9" t="str">
        <f>IF(OR(C21 = "",E21 = ""), "", F21)</f>
        <v>S.C.CORINTHIANS PAULISTA - PRETO</v>
      </c>
      <c r="O21" s="9" t="str">
        <f>IF(C21&gt;E21,B21, IF(E21&gt;C21,F21, ""))</f>
        <v>S.C.CORINTHIANS PAULISTA - PRETO</v>
      </c>
      <c r="P21" s="9" t="str">
        <f>IF(OR(C21 = "",E21 = ""), "", IF(C21=E21,B21, ""))</f>
        <v/>
      </c>
      <c r="Q21" s="9" t="str">
        <f>IF(OR(C21 = "",E21 = ""), "", IF(C21=E21,F21, ""))</f>
        <v/>
      </c>
      <c r="R21" s="9" t="str">
        <f>IF(C21&gt;E21,F21, IF(E21&gt;C21,B21, ""))</f>
        <v>LITOVALE SJC</v>
      </c>
      <c r="S21" s="9" t="str">
        <f>IF(OR(C21 = "",E21 = ""), "", B21)</f>
        <v>LITOVALE SJC</v>
      </c>
      <c r="T21" s="9">
        <f>IF(C21 = "", "", C21)</f>
        <v>0</v>
      </c>
      <c r="U21" s="9" t="str">
        <f>IF(OR(C21 = "",E21 = ""), "", F21)</f>
        <v>S.C.CORINTHIANS PAULISTA - PRETO</v>
      </c>
      <c r="V21" s="9">
        <f>IF(E21 = "", "", E21)</f>
        <v>2</v>
      </c>
      <c r="W21" s="9">
        <f>IF(C21 = "", "", C21)</f>
        <v>0</v>
      </c>
    </row>
    <row r="22" spans="1:23" x14ac:dyDescent="0.25">
      <c r="A22" s="8">
        <v>6</v>
      </c>
      <c r="B22" s="9" t="str">
        <f>VLOOKUP($A22, Equipes!$A$3:$B$8, 2, FALSE)</f>
        <v>SÃO PAULO F.C.</v>
      </c>
      <c r="C22" s="18">
        <v>0</v>
      </c>
      <c r="D22" s="10" t="s">
        <v>18</v>
      </c>
      <c r="E22" s="18">
        <v>2</v>
      </c>
      <c r="F22" s="11" t="str">
        <f>VLOOKUP($G22, Equipes!$A$3:$B$8, 2, FALSE)</f>
        <v>CEPE 2004</v>
      </c>
      <c r="G22" s="8">
        <v>5</v>
      </c>
      <c r="H22" s="9">
        <v>1</v>
      </c>
      <c r="I22" s="9" t="s">
        <v>19</v>
      </c>
      <c r="J22" s="9">
        <v>5</v>
      </c>
      <c r="M22" s="9" t="str">
        <f>IF(OR(C22 = "",E22 = ""), "", B22)</f>
        <v>SÃO PAULO F.C.</v>
      </c>
      <c r="N22" s="9" t="str">
        <f>IF(OR(C22 = "",E22 = ""), "", F22)</f>
        <v>CEPE 2004</v>
      </c>
      <c r="O22" s="9" t="str">
        <f>IF(C22&gt;E22,B22, IF(E22&gt;C22,F22, ""))</f>
        <v>CEPE 2004</v>
      </c>
      <c r="P22" s="9" t="str">
        <f>IF(OR(C22 = "",E22 = ""), "", IF(C22=E22,B22, ""))</f>
        <v/>
      </c>
      <c r="Q22" s="9" t="str">
        <f>IF(OR(C22 = "",E22 = ""), "", IF(C22=E22,F22, ""))</f>
        <v/>
      </c>
      <c r="R22" s="9" t="str">
        <f>IF(C22&gt;E22,F22, IF(E22&gt;C22,B22, ""))</f>
        <v>SÃO PAULO F.C.</v>
      </c>
      <c r="S22" s="9" t="str">
        <f>IF(OR(C22 = "",E22 = ""), "", B22)</f>
        <v>SÃO PAULO F.C.</v>
      </c>
      <c r="T22" s="9">
        <f>IF(C22 = "", "", C22)</f>
        <v>0</v>
      </c>
      <c r="U22" s="9" t="str">
        <f>IF(OR(C22 = "",E22 = ""), "", F22)</f>
        <v>CEPE 2004</v>
      </c>
      <c r="V22" s="9">
        <f>IF(E22 = "", "", E22)</f>
        <v>2</v>
      </c>
      <c r="W22" s="9">
        <f>IF(C22 = "", "", C22)</f>
        <v>0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24</v>
      </c>
      <c r="S1" s="23" t="s">
        <v>33</v>
      </c>
    </row>
    <row r="2" spans="1:19" ht="12.75" x14ac:dyDescent="0.2">
      <c r="B2" s="3" t="s">
        <v>1</v>
      </c>
      <c r="S2" s="23">
        <f>SUM($G$6:$G$11)</f>
        <v>30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25</v>
      </c>
      <c r="B5" s="24" t="s">
        <v>19</v>
      </c>
      <c r="C5" s="28" t="s">
        <v>19</v>
      </c>
      <c r="D5" s="29" t="s">
        <v>26</v>
      </c>
      <c r="E5" s="31" t="s">
        <v>27</v>
      </c>
      <c r="F5" s="31" t="s">
        <v>28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29</v>
      </c>
      <c r="L5" s="31" t="s">
        <v>30</v>
      </c>
      <c r="M5" s="31" t="s">
        <v>31</v>
      </c>
      <c r="N5" s="30" t="s">
        <v>32</v>
      </c>
    </row>
    <row r="6" spans="1:19" x14ac:dyDescent="0.15">
      <c r="A6" s="24" t="str">
        <f t="shared" ref="A6:A11" ca="1" si="0">CONCATENATE(C6,B6)</f>
        <v>1A</v>
      </c>
      <c r="B6" s="24" t="s">
        <v>19</v>
      </c>
      <c r="C6" s="24">
        <f t="shared" ref="C6:C11" ca="1" si="1">IF(SUM($G$6:$G$11)=0,0,_xlfn.RANK.EQ(N6,$N$6:$N$11))</f>
        <v>1</v>
      </c>
      <c r="D6" s="25" t="str">
        <f>VLOOKUP($O6, Equipes!$A$3:$B$8, 2, FALSE)</f>
        <v>S.C.CORINTHIANS PAULISTA - BRANCO</v>
      </c>
      <c r="E6" s="32">
        <f t="shared" ref="E6:E11" si="2">IF(G6=0,0,(F6)/(G6*3))</f>
        <v>1</v>
      </c>
      <c r="F6" s="24">
        <f t="shared" ref="F6:F11" si="3">(H6*3)+(I6*1)</f>
        <v>15</v>
      </c>
      <c r="G6" s="24">
        <f>COUNTIF(Jogos!$M$1:$N$22, $D6)</f>
        <v>5</v>
      </c>
      <c r="H6" s="24">
        <f>COUNTIF(Jogos!$O$1:$O$22, $D6)</f>
        <v>5</v>
      </c>
      <c r="I6" s="24">
        <f>COUNTIF(Jogos!$P$1:$Q$22, $D6)</f>
        <v>0</v>
      </c>
      <c r="J6" s="24">
        <f>COUNTIF(Jogos!$R$1:$R$22, $D6)</f>
        <v>0</v>
      </c>
      <c r="K6" s="24">
        <f ca="1">SUMIF(Jogos!$S$1:$T$22, $D6, Jogos!$T$1:$T$22)+SUMIF(Jogos!$U$1:$V$22, $D6, Jogos!$V$1:$V$22)</f>
        <v>13</v>
      </c>
      <c r="L6" s="24">
        <f ca="1">SUMIF(Jogos!$S$1:$V$22, $D6, Jogos!$V$1:$V$22)+SUMIF(Jogos!$U$1:$W$22, $D6, Jogos!$W$1:$W$22)</f>
        <v>4</v>
      </c>
      <c r="M6" s="24">
        <f t="shared" ref="M6:M11" ca="1" si="4">K6-L6</f>
        <v>9</v>
      </c>
      <c r="N6" s="24">
        <f t="shared" ref="N6:N11" ca="1" si="5">(E6*E$3+F6*F$3+H6*H$3+M6*M$3+K6*K$3)/(E$3/100)-ROW(N6)/E$3</f>
        <v>101.55091293999999</v>
      </c>
      <c r="O6" s="26">
        <v>1</v>
      </c>
      <c r="P6" s="26">
        <f t="shared" ref="P6:P11" ca="1" si="6">(E6*E$3+F6*F$3+H6*H$3+M6*M$3+K6*K$3)/(E$3/100)</f>
        <v>101.55091299999999</v>
      </c>
      <c r="Q6" s="26">
        <f t="shared" ref="Q6:Q11" ca="1" si="7">IF(SUM($G$6:$G$11)=0,0,_xlfn.RANK.EQ(P6,$P$6:$P$11))</f>
        <v>1</v>
      </c>
    </row>
    <row r="7" spans="1:19" x14ac:dyDescent="0.15">
      <c r="A7" s="24" t="str">
        <f t="shared" ca="1" si="0"/>
        <v>2A</v>
      </c>
      <c r="B7" s="24" t="s">
        <v>19</v>
      </c>
      <c r="C7" s="24">
        <f t="shared" ca="1" si="1"/>
        <v>2</v>
      </c>
      <c r="D7" s="25" t="str">
        <f>VLOOKUP($O7, Equipes!$A$3:$B$8, 2, FALSE)</f>
        <v>SAV MARIA ZÉLIA</v>
      </c>
      <c r="E7" s="32">
        <f t="shared" si="2"/>
        <v>0.66666666666666663</v>
      </c>
      <c r="F7" s="24">
        <f t="shared" si="3"/>
        <v>10</v>
      </c>
      <c r="G7" s="24">
        <f>COUNTIF(Jogos!$M$1:$N$22, $D7)</f>
        <v>5</v>
      </c>
      <c r="H7" s="24">
        <f>COUNTIF(Jogos!$O$1:$O$22, $D7)</f>
        <v>3</v>
      </c>
      <c r="I7" s="24">
        <f>COUNTIF(Jogos!$P$1:$Q$22, $D7)</f>
        <v>1</v>
      </c>
      <c r="J7" s="24">
        <f>COUNTIF(Jogos!$R$1:$R$22, $D7)</f>
        <v>1</v>
      </c>
      <c r="K7" s="24">
        <f ca="1">SUMIF(Jogos!$S$1:$T$22, $D7, Jogos!$T$1:$T$22)+SUMIF(Jogos!$U$1:$V$22, $D7, Jogos!$V$1:$V$22)</f>
        <v>7</v>
      </c>
      <c r="L7" s="24">
        <f ca="1">SUMIF(Jogos!$S$1:$V$22, $D7, Jogos!$V$1:$V$22)+SUMIF(Jogos!$U$1:$W$22, $D7, Jogos!$W$1:$W$22)</f>
        <v>7</v>
      </c>
      <c r="M7" s="24">
        <f t="shared" ca="1" si="4"/>
        <v>0</v>
      </c>
      <c r="N7" s="24">
        <f t="shared" ca="1" si="5"/>
        <v>67.696673596666656</v>
      </c>
      <c r="O7" s="26">
        <v>2</v>
      </c>
      <c r="P7" s="26">
        <f t="shared" ca="1" si="6"/>
        <v>67.696673666666655</v>
      </c>
      <c r="Q7" s="26">
        <f t="shared" ca="1" si="7"/>
        <v>2</v>
      </c>
    </row>
    <row r="8" spans="1:19" x14ac:dyDescent="0.15">
      <c r="A8" s="24" t="str">
        <f t="shared" ca="1" si="0"/>
        <v>6A</v>
      </c>
      <c r="B8" s="24" t="s">
        <v>19</v>
      </c>
      <c r="C8" s="24">
        <f t="shared" ca="1" si="1"/>
        <v>6</v>
      </c>
      <c r="D8" s="25" t="str">
        <f>VLOOKUP($O8, Equipes!$A$3:$B$8, 2, FALSE)</f>
        <v>LITOVALE SJC</v>
      </c>
      <c r="E8" s="32">
        <f t="shared" si="2"/>
        <v>6.6666666666666666E-2</v>
      </c>
      <c r="F8" s="24">
        <f t="shared" si="3"/>
        <v>1</v>
      </c>
      <c r="G8" s="24">
        <f>COUNTIF(Jogos!$M$1:$N$22, $D8)</f>
        <v>5</v>
      </c>
      <c r="H8" s="24">
        <f>COUNTIF(Jogos!$O$1:$O$22, $D8)</f>
        <v>0</v>
      </c>
      <c r="I8" s="24">
        <f>COUNTIF(Jogos!$P$1:$Q$22, $D8)</f>
        <v>1</v>
      </c>
      <c r="J8" s="24">
        <f>COUNTIF(Jogos!$R$1:$R$22, $D8)</f>
        <v>4</v>
      </c>
      <c r="K8" s="24">
        <f ca="1">SUMIF(Jogos!$S$1:$T$22, $D8, Jogos!$T$1:$T$22)+SUMIF(Jogos!$U$1:$V$22, $D8, Jogos!$V$1:$V$22)</f>
        <v>2</v>
      </c>
      <c r="L8" s="24">
        <f ca="1">SUMIF(Jogos!$S$1:$V$22, $D8, Jogos!$V$1:$V$22)+SUMIF(Jogos!$U$1:$W$22, $D8, Jogos!$W$1:$W$22)</f>
        <v>9</v>
      </c>
      <c r="M8" s="24">
        <f t="shared" ca="1" si="4"/>
        <v>-7</v>
      </c>
      <c r="N8" s="24">
        <f t="shared" ca="1" si="5"/>
        <v>6.7659685866666663</v>
      </c>
      <c r="O8" s="26">
        <v>3</v>
      </c>
      <c r="P8" s="26">
        <f t="shared" ca="1" si="6"/>
        <v>6.7659686666666667</v>
      </c>
      <c r="Q8" s="26">
        <f t="shared" ca="1" si="7"/>
        <v>6</v>
      </c>
    </row>
    <row r="9" spans="1:19" x14ac:dyDescent="0.15">
      <c r="A9" s="24" t="str">
        <f t="shared" ca="1" si="0"/>
        <v>5A</v>
      </c>
      <c r="B9" s="24" t="s">
        <v>19</v>
      </c>
      <c r="C9" s="24">
        <f t="shared" ca="1" si="1"/>
        <v>5</v>
      </c>
      <c r="D9" s="25" t="str">
        <f>VLOOKUP($O9, Equipes!$A$3:$B$8, 2, FALSE)</f>
        <v>S.C.CORINTHIANS PAULISTA - PRETO</v>
      </c>
      <c r="E9" s="32">
        <f t="shared" si="2"/>
        <v>0.2</v>
      </c>
      <c r="F9" s="24">
        <f t="shared" si="3"/>
        <v>3</v>
      </c>
      <c r="G9" s="24">
        <f>COUNTIF(Jogos!$M$1:$N$22, $D9)</f>
        <v>5</v>
      </c>
      <c r="H9" s="24">
        <f>COUNTIF(Jogos!$O$1:$O$22, $D9)</f>
        <v>1</v>
      </c>
      <c r="I9" s="24">
        <f>COUNTIF(Jogos!$P$1:$Q$22, $D9)</f>
        <v>0</v>
      </c>
      <c r="J9" s="24">
        <f>COUNTIF(Jogos!$R$1:$R$22, $D9)</f>
        <v>4</v>
      </c>
      <c r="K9" s="24">
        <f ca="1">SUMIF(Jogos!$S$1:$T$22, $D9, Jogos!$T$1:$T$22)+SUMIF(Jogos!$U$1:$V$22, $D9, Jogos!$V$1:$V$22)</f>
        <v>5</v>
      </c>
      <c r="L9" s="24">
        <f ca="1">SUMIF(Jogos!$S$1:$V$22, $D9, Jogos!$V$1:$V$22)+SUMIF(Jogos!$U$1:$W$22, $D9, Jogos!$W$1:$W$22)</f>
        <v>9</v>
      </c>
      <c r="M9" s="24">
        <f t="shared" ca="1" si="4"/>
        <v>-4</v>
      </c>
      <c r="N9" s="24">
        <f t="shared" ca="1" si="5"/>
        <v>20.309604910000001</v>
      </c>
      <c r="O9" s="26">
        <v>4</v>
      </c>
      <c r="P9" s="26">
        <f t="shared" ca="1" si="6"/>
        <v>20.309605000000001</v>
      </c>
      <c r="Q9" s="26">
        <f t="shared" ca="1" si="7"/>
        <v>5</v>
      </c>
    </row>
    <row r="10" spans="1:19" x14ac:dyDescent="0.15">
      <c r="A10" s="24" t="str">
        <f t="shared" ca="1" si="0"/>
        <v>3A</v>
      </c>
      <c r="B10" s="24" t="s">
        <v>19</v>
      </c>
      <c r="C10" s="24">
        <f t="shared" ca="1" si="1"/>
        <v>3</v>
      </c>
      <c r="D10" s="25" t="str">
        <f>VLOOKUP($O10, Equipes!$A$3:$B$8, 2, FALSE)</f>
        <v>CEPE 2004</v>
      </c>
      <c r="E10" s="32">
        <f t="shared" si="2"/>
        <v>0.6</v>
      </c>
      <c r="F10" s="24">
        <f t="shared" si="3"/>
        <v>9</v>
      </c>
      <c r="G10" s="24">
        <f>COUNTIF(Jogos!$M$1:$N$22, $D10)</f>
        <v>5</v>
      </c>
      <c r="H10" s="24">
        <f>COUNTIF(Jogos!$O$1:$O$22, $D10)</f>
        <v>3</v>
      </c>
      <c r="I10" s="24">
        <f>COUNTIF(Jogos!$P$1:$Q$22, $D10)</f>
        <v>0</v>
      </c>
      <c r="J10" s="24">
        <f>COUNTIF(Jogos!$R$1:$R$22, $D10)</f>
        <v>2</v>
      </c>
      <c r="K10" s="24">
        <f ca="1">SUMIF(Jogos!$S$1:$T$22, $D10, Jogos!$T$1:$T$22)+SUMIF(Jogos!$U$1:$V$22, $D10, Jogos!$V$1:$V$22)</f>
        <v>8</v>
      </c>
      <c r="L10" s="24">
        <f ca="1">SUMIF(Jogos!$S$1:$V$22, $D10, Jogos!$V$1:$V$22)+SUMIF(Jogos!$U$1:$W$22, $D10, Jogos!$W$1:$W$22)</f>
        <v>6</v>
      </c>
      <c r="M10" s="24">
        <f t="shared" ca="1" si="4"/>
        <v>2</v>
      </c>
      <c r="N10" s="24">
        <f t="shared" ca="1" si="5"/>
        <v>60.930207899999999</v>
      </c>
      <c r="O10" s="26">
        <v>5</v>
      </c>
      <c r="P10" s="26">
        <f t="shared" ca="1" si="6"/>
        <v>60.930208</v>
      </c>
      <c r="Q10" s="26">
        <f t="shared" ca="1" si="7"/>
        <v>3</v>
      </c>
    </row>
    <row r="11" spans="1:19" x14ac:dyDescent="0.15">
      <c r="A11" s="24" t="str">
        <f t="shared" ca="1" si="0"/>
        <v>4A</v>
      </c>
      <c r="B11" s="24" t="s">
        <v>19</v>
      </c>
      <c r="C11" s="24">
        <f t="shared" ca="1" si="1"/>
        <v>4</v>
      </c>
      <c r="D11" s="25" t="str">
        <f>VLOOKUP($O11, Equipes!$A$3:$B$8, 2, FALSE)</f>
        <v>SÃO PAULO F.C.</v>
      </c>
      <c r="E11" s="32">
        <f t="shared" si="2"/>
        <v>0.4</v>
      </c>
      <c r="F11" s="24">
        <f t="shared" si="3"/>
        <v>6</v>
      </c>
      <c r="G11" s="24">
        <f>COUNTIF(Jogos!$M$1:$N$22, $D11)</f>
        <v>5</v>
      </c>
      <c r="H11" s="24">
        <f>COUNTIF(Jogos!$O$1:$O$22, $D11)</f>
        <v>2</v>
      </c>
      <c r="I11" s="24">
        <f>COUNTIF(Jogos!$P$1:$Q$22, $D11)</f>
        <v>0</v>
      </c>
      <c r="J11" s="24">
        <f>COUNTIF(Jogos!$R$1:$R$22, $D11)</f>
        <v>3</v>
      </c>
      <c r="K11" s="24">
        <f ca="1">SUMIF(Jogos!$S$1:$T$22, $D11, Jogos!$T$1:$T$22)+SUMIF(Jogos!$U$1:$V$22, $D11, Jogos!$V$1:$V$22)</f>
        <v>7</v>
      </c>
      <c r="L11" s="24">
        <f ca="1">SUMIF(Jogos!$S$1:$V$22, $D11, Jogos!$V$1:$V$22)+SUMIF(Jogos!$U$1:$W$22, $D11, Jogos!$W$1:$W$22)</f>
        <v>7</v>
      </c>
      <c r="M11" s="24">
        <f t="shared" ca="1" si="4"/>
        <v>0</v>
      </c>
      <c r="N11" s="24">
        <f t="shared" ca="1" si="5"/>
        <v>40.620006889999999</v>
      </c>
      <c r="O11" s="26">
        <v>6</v>
      </c>
      <c r="P11" s="26">
        <f t="shared" ca="1" si="6"/>
        <v>40.620007000000001</v>
      </c>
      <c r="Q11" s="26">
        <f t="shared" ca="1" si="7"/>
        <v>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pane ySplit="1" topLeftCell="A2" activePane="bottomLeft" state="frozen"/>
      <selection pane="bottomLeft" activeCell="O9" sqref="O9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40.710937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34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26</v>
      </c>
      <c r="D3" s="42" t="s">
        <v>27</v>
      </c>
      <c r="E3" s="42" t="s">
        <v>28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29</v>
      </c>
      <c r="K3" s="42" t="s">
        <v>30</v>
      </c>
      <c r="L3" s="42" t="s">
        <v>31</v>
      </c>
    </row>
    <row r="4" spans="1:13" x14ac:dyDescent="0.3">
      <c r="A4" s="34">
        <v>1</v>
      </c>
      <c r="B4" s="43">
        <f ca="1">IFERROR(VLOOKUP($A4,ClassGrupFases!$C$6:$Q$12,15,FALSE),"")</f>
        <v>1</v>
      </c>
      <c r="C4" s="44" t="str">
        <f ca="1">IFERROR(VLOOKUP($A4,ClassGrupFases!$C$6:$Q$12,2,FALSE),"")</f>
        <v>S.C.CORINTHIANS PAULISTA - BRANCO</v>
      </c>
      <c r="D4" s="45">
        <f ca="1">IFERROR(VLOOKUP($A4,ClassGrupFases!$C$6:$Q$12,3,FALSE),"")</f>
        <v>1</v>
      </c>
      <c r="E4" s="46">
        <f ca="1">IFERROR(VLOOKUP($A4,ClassGrupFases!$C$6:$Q$12,4,FALSE),"")</f>
        <v>15</v>
      </c>
      <c r="F4" s="46">
        <f ca="1">IFERROR(VLOOKUP($A4,ClassGrupFases!$C$6:$Q$12,5,FALSE),"")</f>
        <v>5</v>
      </c>
      <c r="G4" s="46">
        <f ca="1">IFERROR(VLOOKUP($A4,ClassGrupFases!$C$6:$Q$12,6,FALSE),"")</f>
        <v>5</v>
      </c>
      <c r="H4" s="46">
        <f ca="1">IFERROR(VLOOKUP($A4,ClassGrupFases!$C$6:$Q$12,7,FALSE),"")</f>
        <v>0</v>
      </c>
      <c r="I4" s="46">
        <f ca="1">IFERROR(VLOOKUP($A4,ClassGrupFases!$C$6:$Q$12,8,FALSE),"")</f>
        <v>0</v>
      </c>
      <c r="J4" s="46">
        <f ca="1">IFERROR(VLOOKUP($A4,ClassGrupFases!$C$6:$Q$12,9,FALSE),"")</f>
        <v>13</v>
      </c>
      <c r="K4" s="46">
        <f ca="1">IFERROR(VLOOKUP($A4,ClassGrupFases!$C$6:$Q$12,10,FALSE),"")</f>
        <v>4</v>
      </c>
      <c r="L4" s="46">
        <f ca="1">IFERROR(VLOOKUP($A4,ClassGrupFases!$C$6:$Q$12,11,FALSE),"")</f>
        <v>9</v>
      </c>
      <c r="M4" s="38">
        <f ca="1">IFERROR(VLOOKUP($A4,ClassGrupFases!$C$6:$Q$12,1,FALSE),"")</f>
        <v>1</v>
      </c>
    </row>
    <row r="5" spans="1:13" x14ac:dyDescent="0.3">
      <c r="A5" s="34">
        <v>2</v>
      </c>
      <c r="B5" s="43">
        <f ca="1">IFERROR(VLOOKUP($A5,ClassGrupFases!$C$6:$Q$12,15,FALSE),"")</f>
        <v>2</v>
      </c>
      <c r="C5" s="44" t="str">
        <f ca="1">IFERROR(VLOOKUP($A5,ClassGrupFases!$C$6:$Q$12,2,FALSE),"")</f>
        <v>SAV MARIA ZÉLIA</v>
      </c>
      <c r="D5" s="45">
        <f ca="1">IFERROR(VLOOKUP($A5,ClassGrupFases!$C$6:$Q$12,3,FALSE),"")</f>
        <v>0.66666666666666663</v>
      </c>
      <c r="E5" s="46">
        <f ca="1">IFERROR(VLOOKUP($A5,ClassGrupFases!$C$6:$Q$12,4,FALSE),"")</f>
        <v>10</v>
      </c>
      <c r="F5" s="46">
        <f ca="1">IFERROR(VLOOKUP($A5,ClassGrupFases!$C$6:$Q$12,5,FALSE),"")</f>
        <v>5</v>
      </c>
      <c r="G5" s="46">
        <f ca="1">IFERROR(VLOOKUP($A5,ClassGrupFases!$C$6:$Q$12,6,FALSE),"")</f>
        <v>3</v>
      </c>
      <c r="H5" s="46">
        <f ca="1">IFERROR(VLOOKUP($A5,ClassGrupFases!$C$6:$Q$12,7,FALSE),"")</f>
        <v>1</v>
      </c>
      <c r="I5" s="46">
        <f ca="1">IFERROR(VLOOKUP($A5,ClassGrupFases!$C$6:$Q$12,8,FALSE),"")</f>
        <v>1</v>
      </c>
      <c r="J5" s="46">
        <f ca="1">IFERROR(VLOOKUP($A5,ClassGrupFases!$C$6:$Q$12,9,FALSE),"")</f>
        <v>7</v>
      </c>
      <c r="K5" s="46">
        <f ca="1">IFERROR(VLOOKUP($A5,ClassGrupFases!$C$6:$Q$12,10,FALSE),"")</f>
        <v>7</v>
      </c>
      <c r="L5" s="46">
        <f ca="1">IFERROR(VLOOKUP($A5,ClassGrupFases!$C$6:$Q$12,11,FALSE),"")</f>
        <v>0</v>
      </c>
      <c r="M5" s="38">
        <f ca="1">IFERROR(VLOOKUP($A5,ClassGrupFases!$C$6:$Q$12,1,FALSE),"")</f>
        <v>2</v>
      </c>
    </row>
    <row r="6" spans="1:13" x14ac:dyDescent="0.3">
      <c r="A6" s="34">
        <v>3</v>
      </c>
      <c r="B6" s="43">
        <f ca="1">IFERROR(VLOOKUP($A6,ClassGrupFases!$C$6:$Q$12,15,FALSE),"")</f>
        <v>3</v>
      </c>
      <c r="C6" s="44" t="str">
        <f ca="1">IFERROR(VLOOKUP($A6,ClassGrupFases!$C$6:$Q$12,2,FALSE),"")</f>
        <v>CEPE 2004</v>
      </c>
      <c r="D6" s="45">
        <f ca="1">IFERROR(VLOOKUP($A6,ClassGrupFases!$C$6:$Q$12,3,FALSE),"")</f>
        <v>0.6</v>
      </c>
      <c r="E6" s="46">
        <f ca="1">IFERROR(VLOOKUP($A6,ClassGrupFases!$C$6:$Q$12,4,FALSE),"")</f>
        <v>9</v>
      </c>
      <c r="F6" s="46">
        <f ca="1">IFERROR(VLOOKUP($A6,ClassGrupFases!$C$6:$Q$12,5,FALSE),"")</f>
        <v>5</v>
      </c>
      <c r="G6" s="46">
        <f ca="1">IFERROR(VLOOKUP($A6,ClassGrupFases!$C$6:$Q$12,6,FALSE),"")</f>
        <v>3</v>
      </c>
      <c r="H6" s="46">
        <f ca="1">IFERROR(VLOOKUP($A6,ClassGrupFases!$C$6:$Q$12,7,FALSE),"")</f>
        <v>0</v>
      </c>
      <c r="I6" s="46">
        <f ca="1">IFERROR(VLOOKUP($A6,ClassGrupFases!$C$6:$Q$12,8,FALSE),"")</f>
        <v>2</v>
      </c>
      <c r="J6" s="46">
        <f ca="1">IFERROR(VLOOKUP($A6,ClassGrupFases!$C$6:$Q$12,9,FALSE),"")</f>
        <v>8</v>
      </c>
      <c r="K6" s="46">
        <f ca="1">IFERROR(VLOOKUP($A6,ClassGrupFases!$C$6:$Q$12,10,FALSE),"")</f>
        <v>6</v>
      </c>
      <c r="L6" s="46">
        <f ca="1">IFERROR(VLOOKUP($A6,ClassGrupFases!$C$6:$Q$12,11,FALSE),"")</f>
        <v>2</v>
      </c>
      <c r="M6" s="38">
        <f ca="1">IFERROR(VLOOKUP($A6,ClassGrupFases!$C$6:$Q$12,1,FALSE),"")</f>
        <v>3</v>
      </c>
    </row>
    <row r="7" spans="1:13" x14ac:dyDescent="0.3">
      <c r="A7" s="34">
        <v>4</v>
      </c>
      <c r="B7" s="43">
        <f ca="1">IFERROR(VLOOKUP($A7,ClassGrupFases!$C$6:$Q$12,15,FALSE),"")</f>
        <v>4</v>
      </c>
      <c r="C7" s="44" t="str">
        <f ca="1">IFERROR(VLOOKUP($A7,ClassGrupFases!$C$6:$Q$12,2,FALSE),"")</f>
        <v>SÃO PAULO F.C.</v>
      </c>
      <c r="D7" s="45">
        <f ca="1">IFERROR(VLOOKUP($A7,ClassGrupFases!$C$6:$Q$12,3,FALSE),"")</f>
        <v>0.4</v>
      </c>
      <c r="E7" s="46">
        <f ca="1">IFERROR(VLOOKUP($A7,ClassGrupFases!$C$6:$Q$12,4,FALSE),"")</f>
        <v>6</v>
      </c>
      <c r="F7" s="46">
        <f ca="1">IFERROR(VLOOKUP($A7,ClassGrupFases!$C$6:$Q$12,5,FALSE),"")</f>
        <v>5</v>
      </c>
      <c r="G7" s="46">
        <f ca="1">IFERROR(VLOOKUP($A7,ClassGrupFases!$C$6:$Q$12,6,FALSE),"")</f>
        <v>2</v>
      </c>
      <c r="H7" s="46">
        <f ca="1">IFERROR(VLOOKUP($A7,ClassGrupFases!$C$6:$Q$12,7,FALSE),"")</f>
        <v>0</v>
      </c>
      <c r="I7" s="46">
        <f ca="1">IFERROR(VLOOKUP($A7,ClassGrupFases!$C$6:$Q$12,8,FALSE),"")</f>
        <v>3</v>
      </c>
      <c r="J7" s="46">
        <f ca="1">IFERROR(VLOOKUP($A7,ClassGrupFases!$C$6:$Q$12,9,FALSE),"")</f>
        <v>7</v>
      </c>
      <c r="K7" s="46">
        <f ca="1">IFERROR(VLOOKUP($A7,ClassGrupFases!$C$6:$Q$12,10,FALSE),"")</f>
        <v>7</v>
      </c>
      <c r="L7" s="46">
        <f ca="1">IFERROR(VLOOKUP($A7,ClassGrupFases!$C$6:$Q$12,11,FALSE),"")</f>
        <v>0</v>
      </c>
      <c r="M7" s="38">
        <f ca="1">IFERROR(VLOOKUP($A7,ClassGrupFases!$C$6:$Q$12,1,FALSE),"")</f>
        <v>4</v>
      </c>
    </row>
    <row r="8" spans="1:13" x14ac:dyDescent="0.3">
      <c r="A8" s="34">
        <v>5</v>
      </c>
      <c r="B8" s="43">
        <f ca="1">IFERROR(VLOOKUP($A8,ClassGrupFases!$C$6:$Q$12,15,FALSE),"")</f>
        <v>5</v>
      </c>
      <c r="C8" s="44" t="str">
        <f ca="1">IFERROR(VLOOKUP($A8,ClassGrupFases!$C$6:$Q$12,2,FALSE),"")</f>
        <v>S.C.CORINTHIANS PAULISTA - PRETO</v>
      </c>
      <c r="D8" s="45">
        <f ca="1">IFERROR(VLOOKUP($A8,ClassGrupFases!$C$6:$Q$12,3,FALSE),"")</f>
        <v>0.2</v>
      </c>
      <c r="E8" s="46">
        <f ca="1">IFERROR(VLOOKUP($A8,ClassGrupFases!$C$6:$Q$12,4,FALSE),"")</f>
        <v>3</v>
      </c>
      <c r="F8" s="46">
        <f ca="1">IFERROR(VLOOKUP($A8,ClassGrupFases!$C$6:$Q$12,5,FALSE),"")</f>
        <v>5</v>
      </c>
      <c r="G8" s="46">
        <f ca="1">IFERROR(VLOOKUP($A8,ClassGrupFases!$C$6:$Q$12,6,FALSE),"")</f>
        <v>1</v>
      </c>
      <c r="H8" s="46">
        <f ca="1">IFERROR(VLOOKUP($A8,ClassGrupFases!$C$6:$Q$12,7,FALSE),"")</f>
        <v>0</v>
      </c>
      <c r="I8" s="46">
        <f ca="1">IFERROR(VLOOKUP($A8,ClassGrupFases!$C$6:$Q$12,8,FALSE),"")</f>
        <v>4</v>
      </c>
      <c r="J8" s="46">
        <f ca="1">IFERROR(VLOOKUP($A8,ClassGrupFases!$C$6:$Q$12,9,FALSE),"")</f>
        <v>5</v>
      </c>
      <c r="K8" s="46">
        <f ca="1">IFERROR(VLOOKUP($A8,ClassGrupFases!$C$6:$Q$12,10,FALSE),"")</f>
        <v>9</v>
      </c>
      <c r="L8" s="46">
        <f ca="1">IFERROR(VLOOKUP($A8,ClassGrupFases!$C$6:$Q$12,11,FALSE),"")</f>
        <v>-4</v>
      </c>
      <c r="M8" s="38">
        <f ca="1">IFERROR(VLOOKUP($A8,ClassGrupFases!$C$6:$Q$12,1,FALSE),"")</f>
        <v>5</v>
      </c>
    </row>
    <row r="9" spans="1:13" x14ac:dyDescent="0.3">
      <c r="A9" s="34">
        <v>6</v>
      </c>
      <c r="B9" s="47">
        <f ca="1">IFERROR(VLOOKUP($A9,ClassGrupFases!$C$6:$Q$12,15,FALSE),"")</f>
        <v>6</v>
      </c>
      <c r="C9" s="48" t="str">
        <f ca="1">IFERROR(VLOOKUP($A9,ClassGrupFases!$C$6:$Q$12,2,FALSE),"")</f>
        <v>LITOVALE SJC</v>
      </c>
      <c r="D9" s="49">
        <f ca="1">IFERROR(VLOOKUP($A9,ClassGrupFases!$C$6:$Q$12,3,FALSE),"")</f>
        <v>6.6666666666666666E-2</v>
      </c>
      <c r="E9" s="50">
        <f ca="1">IFERROR(VLOOKUP($A9,ClassGrupFases!$C$6:$Q$12,4,FALSE),"")</f>
        <v>1</v>
      </c>
      <c r="F9" s="50">
        <f ca="1">IFERROR(VLOOKUP($A9,ClassGrupFases!$C$6:$Q$12,5,FALSE),"")</f>
        <v>5</v>
      </c>
      <c r="G9" s="50">
        <f ca="1">IFERROR(VLOOKUP($A9,ClassGrupFases!$C$6:$Q$12,6,FALSE),"")</f>
        <v>0</v>
      </c>
      <c r="H9" s="50">
        <f ca="1">IFERROR(VLOOKUP($A9,ClassGrupFases!$C$6:$Q$12,7,FALSE),"")</f>
        <v>1</v>
      </c>
      <c r="I9" s="50">
        <f ca="1">IFERROR(VLOOKUP($A9,ClassGrupFases!$C$6:$Q$12,8,FALSE),"")</f>
        <v>4</v>
      </c>
      <c r="J9" s="50">
        <f ca="1">IFERROR(VLOOKUP($A9,ClassGrupFases!$C$6:$Q$12,9,FALSE),"")</f>
        <v>2</v>
      </c>
      <c r="K9" s="50">
        <f ca="1">IFERROR(VLOOKUP($A9,ClassGrupFases!$C$6:$Q$12,10,FALSE),"")</f>
        <v>9</v>
      </c>
      <c r="L9" s="50">
        <f ca="1">IFERROR(VLOOKUP($A9,ClassGrupFases!$C$6:$Q$12,11,FALSE),"")</f>
        <v>-7</v>
      </c>
      <c r="M9" s="38">
        <f ca="1">IFERROR(VLOOKUP($A9,ClassGrupFases!$C$6:$Q$12,1,FALSE),"")</f>
        <v>6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Braga</dc:creator>
  <cp:lastModifiedBy>Jose Jorge Farah Neto</cp:lastModifiedBy>
  <dcterms:created xsi:type="dcterms:W3CDTF">2023-02-11T20:17:27Z</dcterms:created>
  <dcterms:modified xsi:type="dcterms:W3CDTF">2023-02-12T22:20:54Z</dcterms:modified>
</cp:coreProperties>
</file>