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Dadinho\"/>
    </mc:Choice>
  </mc:AlternateContent>
  <bookViews>
    <workbookView xWindow="-120" yWindow="-120" windowWidth="20730" windowHeight="11760" tabRatio="500" activeTab="4"/>
  </bookViews>
  <sheets>
    <sheet name="Equipes" sheetId="1" r:id="rId1"/>
    <sheet name="Grupos" sheetId="2" r:id="rId2"/>
    <sheet name="Jogos" sheetId="3" r:id="rId3"/>
    <sheet name="ClassGrupFases" sheetId="4" state="hidden" r:id="rId4"/>
    <sheet name="Classificação" sheetId="5" r:id="rId5"/>
    <sheet name="Finais" sheetId="6" r:id="rId6"/>
    <sheet name="Premiação" sheetId="7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4" l="1"/>
  <c r="M4" i="3"/>
  <c r="N4" i="3"/>
  <c r="M5" i="3"/>
  <c r="N5" i="3"/>
  <c r="M6" i="3"/>
  <c r="N6" i="3"/>
  <c r="M7" i="3"/>
  <c r="N7" i="3"/>
  <c r="M8" i="3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6" i="3"/>
  <c r="N36" i="3"/>
  <c r="M37" i="3"/>
  <c r="N37" i="3"/>
  <c r="M38" i="3"/>
  <c r="N38" i="3"/>
  <c r="M39" i="3"/>
  <c r="N39" i="3"/>
  <c r="M40" i="3"/>
  <c r="N40" i="3"/>
  <c r="M41" i="3"/>
  <c r="N41" i="3"/>
  <c r="M42" i="3"/>
  <c r="N42" i="3"/>
  <c r="M43" i="3"/>
  <c r="N43" i="3"/>
  <c r="M44" i="3"/>
  <c r="N44" i="3"/>
  <c r="M45" i="3"/>
  <c r="N45" i="3"/>
  <c r="M46" i="3"/>
  <c r="N46" i="3"/>
  <c r="M47" i="3"/>
  <c r="N47" i="3"/>
  <c r="M48" i="3"/>
  <c r="N48" i="3"/>
  <c r="M49" i="3"/>
  <c r="N49" i="3"/>
  <c r="M50" i="3"/>
  <c r="N50" i="3"/>
  <c r="M52" i="3"/>
  <c r="N52" i="3"/>
  <c r="M53" i="3"/>
  <c r="N53" i="3"/>
  <c r="M54" i="3"/>
  <c r="N54" i="3"/>
  <c r="M55" i="3"/>
  <c r="N55" i="3"/>
  <c r="M56" i="3"/>
  <c r="N56" i="3"/>
  <c r="M57" i="3"/>
  <c r="N57" i="3"/>
  <c r="M58" i="3"/>
  <c r="N58" i="3"/>
  <c r="M59" i="3"/>
  <c r="N59" i="3"/>
  <c r="M60" i="3"/>
  <c r="N60" i="3"/>
  <c r="M61" i="3"/>
  <c r="N61" i="3"/>
  <c r="M62" i="3"/>
  <c r="N62" i="3"/>
  <c r="M63" i="3"/>
  <c r="N63" i="3"/>
  <c r="M64" i="3"/>
  <c r="N64" i="3"/>
  <c r="M65" i="3"/>
  <c r="N65" i="3"/>
  <c r="M66" i="3"/>
  <c r="N66" i="3"/>
  <c r="M68" i="3"/>
  <c r="N68" i="3"/>
  <c r="M69" i="3"/>
  <c r="N69" i="3"/>
  <c r="M70" i="3"/>
  <c r="N70" i="3"/>
  <c r="M71" i="3"/>
  <c r="N71" i="3"/>
  <c r="M72" i="3"/>
  <c r="N72" i="3"/>
  <c r="M73" i="3"/>
  <c r="N73" i="3"/>
  <c r="M74" i="3"/>
  <c r="N74" i="3"/>
  <c r="M75" i="3"/>
  <c r="N75" i="3"/>
  <c r="M76" i="3"/>
  <c r="N76" i="3"/>
  <c r="M77" i="3"/>
  <c r="N77" i="3"/>
  <c r="M78" i="3"/>
  <c r="N78" i="3"/>
  <c r="M79" i="3"/>
  <c r="N79" i="3"/>
  <c r="M80" i="3"/>
  <c r="N80" i="3"/>
  <c r="M81" i="3"/>
  <c r="N81" i="3"/>
  <c r="M82" i="3"/>
  <c r="N82" i="3"/>
  <c r="D7" i="4"/>
  <c r="D8" i="4"/>
  <c r="D9" i="4"/>
  <c r="D10" i="4"/>
  <c r="D11" i="4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P4" i="3"/>
  <c r="Q4" i="3"/>
  <c r="P5" i="3"/>
  <c r="Q5" i="3"/>
  <c r="P6" i="3"/>
  <c r="Q6" i="3"/>
  <c r="P7" i="3"/>
  <c r="Q7" i="3"/>
  <c r="P8" i="3"/>
  <c r="Q8" i="3"/>
  <c r="P9" i="3"/>
  <c r="Q9" i="3"/>
  <c r="P10" i="3"/>
  <c r="Q10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6" i="3"/>
  <c r="Q36" i="3"/>
  <c r="P37" i="3"/>
  <c r="Q37" i="3"/>
  <c r="P38" i="3"/>
  <c r="Q38" i="3"/>
  <c r="P39" i="3"/>
  <c r="Q39" i="3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P47" i="3"/>
  <c r="Q47" i="3"/>
  <c r="P48" i="3"/>
  <c r="Q48" i="3"/>
  <c r="P49" i="3"/>
  <c r="Q49" i="3"/>
  <c r="P50" i="3"/>
  <c r="Q50" i="3"/>
  <c r="P52" i="3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8" i="3"/>
  <c r="Q68" i="3"/>
  <c r="P69" i="3"/>
  <c r="Q69" i="3"/>
  <c r="P70" i="3"/>
  <c r="Q70" i="3"/>
  <c r="P71" i="3"/>
  <c r="Q71" i="3"/>
  <c r="P72" i="3"/>
  <c r="Q72" i="3"/>
  <c r="P73" i="3"/>
  <c r="Q73" i="3"/>
  <c r="P74" i="3"/>
  <c r="Q74" i="3"/>
  <c r="P75" i="3"/>
  <c r="Q75" i="3"/>
  <c r="P76" i="3"/>
  <c r="Q76" i="3"/>
  <c r="P77" i="3"/>
  <c r="Q77" i="3"/>
  <c r="P78" i="3"/>
  <c r="Q78" i="3"/>
  <c r="P79" i="3"/>
  <c r="Q79" i="3"/>
  <c r="P80" i="3"/>
  <c r="Q80" i="3"/>
  <c r="P81" i="3"/>
  <c r="Q81" i="3"/>
  <c r="P82" i="3"/>
  <c r="Q82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S4" i="3"/>
  <c r="T4" i="3"/>
  <c r="S5" i="3"/>
  <c r="T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D14" i="4"/>
  <c r="D15" i="4"/>
  <c r="D16" i="4"/>
  <c r="D17" i="4"/>
  <c r="D18" i="4"/>
  <c r="D19" i="4"/>
  <c r="D22" i="4"/>
  <c r="D23" i="4"/>
  <c r="D24" i="4"/>
  <c r="D25" i="4"/>
  <c r="D26" i="4"/>
  <c r="D27" i="4"/>
  <c r="D30" i="4"/>
  <c r="D31" i="4"/>
  <c r="D32" i="4"/>
  <c r="D33" i="4"/>
  <c r="D34" i="4"/>
  <c r="D35" i="4"/>
  <c r="D38" i="4"/>
  <c r="D39" i="4"/>
  <c r="D40" i="4"/>
  <c r="D41" i="4"/>
  <c r="D42" i="4"/>
  <c r="D43" i="4"/>
  <c r="S5" i="6"/>
  <c r="Q5" i="6" s="1"/>
  <c r="S6" i="6"/>
  <c r="Q6" i="6" s="1"/>
  <c r="S7" i="6"/>
  <c r="Q7" i="6" s="1"/>
  <c r="S8" i="6"/>
  <c r="Q8" i="6" s="1"/>
  <c r="R5" i="6"/>
  <c r="R6" i="6"/>
  <c r="R7" i="6"/>
  <c r="R8" i="6"/>
  <c r="S9" i="6"/>
  <c r="Q9" i="6" s="1"/>
  <c r="R9" i="6"/>
  <c r="S10" i="6"/>
  <c r="Q10" i="6" s="1"/>
  <c r="R10" i="6"/>
  <c r="S11" i="6"/>
  <c r="Q11" i="6" s="1"/>
  <c r="R11" i="6"/>
  <c r="S12" i="6"/>
  <c r="Q12" i="6" s="1"/>
  <c r="R12" i="6"/>
  <c r="S15" i="6"/>
  <c r="Q15" i="6" s="1"/>
  <c r="R15" i="6"/>
  <c r="S16" i="6"/>
  <c r="Q16" i="6" s="1"/>
  <c r="R16" i="6"/>
  <c r="S17" i="6"/>
  <c r="Q17" i="6" s="1"/>
  <c r="R17" i="6"/>
  <c r="S18" i="6"/>
  <c r="Q18" i="6" s="1"/>
  <c r="R18" i="6"/>
  <c r="S21" i="6"/>
  <c r="Q21" i="6" s="1"/>
  <c r="R21" i="6"/>
  <c r="S22" i="6"/>
  <c r="Q22" i="6" s="1"/>
  <c r="R22" i="6"/>
  <c r="S25" i="6"/>
  <c r="Q25" i="6" s="1"/>
  <c r="R25" i="6"/>
  <c r="S28" i="6"/>
  <c r="Q28" i="6" s="1"/>
  <c r="R28" i="6"/>
  <c r="O5" i="6"/>
  <c r="M5" i="6" s="1"/>
  <c r="O6" i="6"/>
  <c r="M6" i="6" s="1"/>
  <c r="O7" i="6"/>
  <c r="M7" i="6" s="1"/>
  <c r="O8" i="6"/>
  <c r="M8" i="6" s="1"/>
  <c r="N5" i="6"/>
  <c r="N6" i="6"/>
  <c r="N7" i="6"/>
  <c r="N8" i="6"/>
  <c r="O9" i="6"/>
  <c r="M9" i="6" s="1"/>
  <c r="N9" i="6"/>
  <c r="O10" i="6"/>
  <c r="M10" i="6" s="1"/>
  <c r="N10" i="6"/>
  <c r="O11" i="6"/>
  <c r="M11" i="6" s="1"/>
  <c r="N11" i="6"/>
  <c r="O12" i="6"/>
  <c r="M12" i="6" s="1"/>
  <c r="N12" i="6"/>
  <c r="O15" i="6"/>
  <c r="M15" i="6" s="1"/>
  <c r="O16" i="6"/>
  <c r="M16" i="6" s="1"/>
  <c r="O17" i="6"/>
  <c r="M17" i="6" s="1"/>
  <c r="O18" i="6"/>
  <c r="M18" i="6" s="1"/>
  <c r="O21" i="6"/>
  <c r="M21" i="6" s="1"/>
  <c r="O22" i="6"/>
  <c r="M22" i="6" s="1"/>
  <c r="N25" i="6"/>
  <c r="N28" i="6"/>
  <c r="O28" i="6"/>
  <c r="M28" i="6" s="1"/>
  <c r="AD28" i="6"/>
  <c r="AE28" i="6"/>
  <c r="AB28" i="6"/>
  <c r="Z28" i="6"/>
  <c r="Y28" i="6"/>
  <c r="X28" i="6"/>
  <c r="W28" i="6"/>
  <c r="AC28" i="6"/>
  <c r="U28" i="6"/>
  <c r="AA28" i="6"/>
  <c r="O25" i="6"/>
  <c r="M25" i="6" s="1"/>
  <c r="AD25" i="6"/>
  <c r="AE25" i="6"/>
  <c r="AB25" i="6"/>
  <c r="Z25" i="6"/>
  <c r="Y25" i="6"/>
  <c r="X25" i="6"/>
  <c r="W25" i="6"/>
  <c r="AC25" i="6"/>
  <c r="U25" i="6"/>
  <c r="AA25" i="6"/>
  <c r="N22" i="6"/>
  <c r="AD22" i="6"/>
  <c r="AE22" i="6"/>
  <c r="AB22" i="6"/>
  <c r="Z22" i="6"/>
  <c r="Y22" i="6"/>
  <c r="X22" i="6"/>
  <c r="W22" i="6"/>
  <c r="AC22" i="6"/>
  <c r="U22" i="6"/>
  <c r="AA22" i="6"/>
  <c r="N21" i="6"/>
  <c r="AD21" i="6"/>
  <c r="AE21" i="6"/>
  <c r="AB21" i="6"/>
  <c r="Z21" i="6"/>
  <c r="Y21" i="6"/>
  <c r="X21" i="6"/>
  <c r="W21" i="6"/>
  <c r="AC21" i="6"/>
  <c r="U21" i="6"/>
  <c r="AA21" i="6"/>
  <c r="N18" i="6"/>
  <c r="AD18" i="6"/>
  <c r="AE18" i="6"/>
  <c r="AB18" i="6"/>
  <c r="Z18" i="6"/>
  <c r="Y18" i="6"/>
  <c r="X18" i="6"/>
  <c r="W18" i="6"/>
  <c r="AC18" i="6"/>
  <c r="U18" i="6"/>
  <c r="AA18" i="6"/>
  <c r="N17" i="6"/>
  <c r="AD17" i="6"/>
  <c r="AE17" i="6"/>
  <c r="AB17" i="6"/>
  <c r="Z17" i="6"/>
  <c r="Y17" i="6"/>
  <c r="X17" i="6"/>
  <c r="W17" i="6"/>
  <c r="AC17" i="6"/>
  <c r="U17" i="6"/>
  <c r="AA17" i="6"/>
  <c r="N16" i="6"/>
  <c r="AD16" i="6"/>
  <c r="AE16" i="6"/>
  <c r="AB16" i="6"/>
  <c r="Z16" i="6"/>
  <c r="Y16" i="6"/>
  <c r="X16" i="6"/>
  <c r="W16" i="6"/>
  <c r="AC16" i="6"/>
  <c r="U16" i="6"/>
  <c r="AA16" i="6"/>
  <c r="N15" i="6"/>
  <c r="AD15" i="6"/>
  <c r="AE15" i="6"/>
  <c r="AB15" i="6"/>
  <c r="Z15" i="6"/>
  <c r="Y15" i="6"/>
  <c r="X15" i="6"/>
  <c r="W15" i="6"/>
  <c r="AC15" i="6"/>
  <c r="U15" i="6"/>
  <c r="AA15" i="6"/>
  <c r="AD12" i="6"/>
  <c r="AE12" i="6"/>
  <c r="AB12" i="6"/>
  <c r="Z12" i="6"/>
  <c r="Y12" i="6"/>
  <c r="X12" i="6"/>
  <c r="W12" i="6"/>
  <c r="AC12" i="6"/>
  <c r="U12" i="6"/>
  <c r="AA12" i="6"/>
  <c r="AD11" i="6"/>
  <c r="AE11" i="6"/>
  <c r="AB11" i="6"/>
  <c r="Z11" i="6"/>
  <c r="Y11" i="6"/>
  <c r="X11" i="6"/>
  <c r="W11" i="6"/>
  <c r="AC11" i="6"/>
  <c r="U11" i="6"/>
  <c r="AA11" i="6"/>
  <c r="AD10" i="6"/>
  <c r="AE10" i="6"/>
  <c r="AB10" i="6"/>
  <c r="Z10" i="6"/>
  <c r="Y10" i="6"/>
  <c r="X10" i="6"/>
  <c r="W10" i="6"/>
  <c r="AC10" i="6"/>
  <c r="U10" i="6"/>
  <c r="AA10" i="6"/>
  <c r="AD9" i="6"/>
  <c r="AE9" i="6"/>
  <c r="AB9" i="6"/>
  <c r="Z9" i="6"/>
  <c r="Y9" i="6"/>
  <c r="X9" i="6"/>
  <c r="W9" i="6"/>
  <c r="AC9" i="6"/>
  <c r="U9" i="6"/>
  <c r="AA9" i="6"/>
  <c r="AD8" i="6"/>
  <c r="AE8" i="6"/>
  <c r="AB8" i="6"/>
  <c r="Z8" i="6"/>
  <c r="Y8" i="6"/>
  <c r="X8" i="6"/>
  <c r="W8" i="6"/>
  <c r="AC8" i="6"/>
  <c r="U8" i="6"/>
  <c r="AA8" i="6"/>
  <c r="AD7" i="6"/>
  <c r="AE7" i="6"/>
  <c r="AB7" i="6"/>
  <c r="Z7" i="6"/>
  <c r="Y7" i="6"/>
  <c r="X7" i="6"/>
  <c r="W7" i="6"/>
  <c r="AC7" i="6"/>
  <c r="U7" i="6"/>
  <c r="AA7" i="6"/>
  <c r="AD6" i="6"/>
  <c r="AE6" i="6"/>
  <c r="AB6" i="6"/>
  <c r="Z6" i="6"/>
  <c r="Y6" i="6"/>
  <c r="X6" i="6"/>
  <c r="W6" i="6"/>
  <c r="AC6" i="6"/>
  <c r="U6" i="6"/>
  <c r="AA6" i="6"/>
  <c r="AD5" i="6"/>
  <c r="AE5" i="6"/>
  <c r="AB5" i="6"/>
  <c r="Z5" i="6"/>
  <c r="Y5" i="6"/>
  <c r="X5" i="6"/>
  <c r="W5" i="6"/>
  <c r="AC5" i="6"/>
  <c r="U5" i="6"/>
  <c r="AA5" i="6"/>
  <c r="L27" i="6"/>
  <c r="L24" i="6"/>
  <c r="L20" i="6"/>
  <c r="L14" i="6"/>
  <c r="L4" i="6"/>
  <c r="W82" i="3"/>
  <c r="F82" i="3"/>
  <c r="B82" i="3"/>
  <c r="W81" i="3"/>
  <c r="F81" i="3"/>
  <c r="B81" i="3"/>
  <c r="W80" i="3"/>
  <c r="F80" i="3"/>
  <c r="B80" i="3"/>
  <c r="W79" i="3"/>
  <c r="F79" i="3"/>
  <c r="B79" i="3"/>
  <c r="W78" i="3"/>
  <c r="F78" i="3"/>
  <c r="B78" i="3"/>
  <c r="W77" i="3"/>
  <c r="F77" i="3"/>
  <c r="B77" i="3"/>
  <c r="W76" i="3"/>
  <c r="F76" i="3"/>
  <c r="B76" i="3"/>
  <c r="W75" i="3"/>
  <c r="F75" i="3"/>
  <c r="B75" i="3"/>
  <c r="W74" i="3"/>
  <c r="F74" i="3"/>
  <c r="B74" i="3"/>
  <c r="W73" i="3"/>
  <c r="F73" i="3"/>
  <c r="B73" i="3"/>
  <c r="W72" i="3"/>
  <c r="F72" i="3"/>
  <c r="B72" i="3"/>
  <c r="W71" i="3"/>
  <c r="F71" i="3"/>
  <c r="B71" i="3"/>
  <c r="W70" i="3"/>
  <c r="F70" i="3"/>
  <c r="B70" i="3"/>
  <c r="W69" i="3"/>
  <c r="F69" i="3"/>
  <c r="B69" i="3"/>
  <c r="W68" i="3"/>
  <c r="F68" i="3"/>
  <c r="B68" i="3"/>
  <c r="K67" i="3"/>
  <c r="W66" i="3"/>
  <c r="F66" i="3"/>
  <c r="B66" i="3"/>
  <c r="W65" i="3"/>
  <c r="F65" i="3"/>
  <c r="B65" i="3"/>
  <c r="W64" i="3"/>
  <c r="F64" i="3"/>
  <c r="B64" i="3"/>
  <c r="W63" i="3"/>
  <c r="F63" i="3"/>
  <c r="B63" i="3"/>
  <c r="W62" i="3"/>
  <c r="F62" i="3"/>
  <c r="B62" i="3"/>
  <c r="W61" i="3"/>
  <c r="F61" i="3"/>
  <c r="B61" i="3"/>
  <c r="W60" i="3"/>
  <c r="F60" i="3"/>
  <c r="B60" i="3"/>
  <c r="W59" i="3"/>
  <c r="F59" i="3"/>
  <c r="B59" i="3"/>
  <c r="W58" i="3"/>
  <c r="F58" i="3"/>
  <c r="B58" i="3"/>
  <c r="W57" i="3"/>
  <c r="F57" i="3"/>
  <c r="B57" i="3"/>
  <c r="W56" i="3"/>
  <c r="F56" i="3"/>
  <c r="B56" i="3"/>
  <c r="W55" i="3"/>
  <c r="F55" i="3"/>
  <c r="B55" i="3"/>
  <c r="W54" i="3"/>
  <c r="F54" i="3"/>
  <c r="B54" i="3"/>
  <c r="W53" i="3"/>
  <c r="F53" i="3"/>
  <c r="B53" i="3"/>
  <c r="W52" i="3"/>
  <c r="F52" i="3"/>
  <c r="B52" i="3"/>
  <c r="K51" i="3"/>
  <c r="W50" i="3"/>
  <c r="F50" i="3"/>
  <c r="B50" i="3"/>
  <c r="W49" i="3"/>
  <c r="F49" i="3"/>
  <c r="B49" i="3"/>
  <c r="W48" i="3"/>
  <c r="F48" i="3"/>
  <c r="B48" i="3"/>
  <c r="W47" i="3"/>
  <c r="F47" i="3"/>
  <c r="B47" i="3"/>
  <c r="W46" i="3"/>
  <c r="F46" i="3"/>
  <c r="B46" i="3"/>
  <c r="W45" i="3"/>
  <c r="F45" i="3"/>
  <c r="B45" i="3"/>
  <c r="W44" i="3"/>
  <c r="F44" i="3"/>
  <c r="B44" i="3"/>
  <c r="W43" i="3"/>
  <c r="F43" i="3"/>
  <c r="B43" i="3"/>
  <c r="W42" i="3"/>
  <c r="F42" i="3"/>
  <c r="B42" i="3"/>
  <c r="W41" i="3"/>
  <c r="F41" i="3"/>
  <c r="B41" i="3"/>
  <c r="W40" i="3"/>
  <c r="F40" i="3"/>
  <c r="B40" i="3"/>
  <c r="W39" i="3"/>
  <c r="F39" i="3"/>
  <c r="B39" i="3"/>
  <c r="W38" i="3"/>
  <c r="F38" i="3"/>
  <c r="B38" i="3"/>
  <c r="W37" i="3"/>
  <c r="F37" i="3"/>
  <c r="B37" i="3"/>
  <c r="W36" i="3"/>
  <c r="F36" i="3"/>
  <c r="B36" i="3"/>
  <c r="K35" i="3"/>
  <c r="W34" i="3"/>
  <c r="F34" i="3"/>
  <c r="B34" i="3"/>
  <c r="W33" i="3"/>
  <c r="F33" i="3"/>
  <c r="B33" i="3"/>
  <c r="W32" i="3"/>
  <c r="F32" i="3"/>
  <c r="B32" i="3"/>
  <c r="W31" i="3"/>
  <c r="F31" i="3"/>
  <c r="B31" i="3"/>
  <c r="W30" i="3"/>
  <c r="F30" i="3"/>
  <c r="B30" i="3"/>
  <c r="W29" i="3"/>
  <c r="F29" i="3"/>
  <c r="B29" i="3"/>
  <c r="W28" i="3"/>
  <c r="F28" i="3"/>
  <c r="B28" i="3"/>
  <c r="W27" i="3"/>
  <c r="F27" i="3"/>
  <c r="B27" i="3"/>
  <c r="W26" i="3"/>
  <c r="F26" i="3"/>
  <c r="B26" i="3"/>
  <c r="W25" i="3"/>
  <c r="F25" i="3"/>
  <c r="B25" i="3"/>
  <c r="W24" i="3"/>
  <c r="F24" i="3"/>
  <c r="B24" i="3"/>
  <c r="W23" i="3"/>
  <c r="F23" i="3"/>
  <c r="B23" i="3"/>
  <c r="W22" i="3"/>
  <c r="F22" i="3"/>
  <c r="B22" i="3"/>
  <c r="W21" i="3"/>
  <c r="F21" i="3"/>
  <c r="B21" i="3"/>
  <c r="W20" i="3"/>
  <c r="F20" i="3"/>
  <c r="B20" i="3"/>
  <c r="K19" i="3"/>
  <c r="W18" i="3"/>
  <c r="F18" i="3"/>
  <c r="B18" i="3"/>
  <c r="W17" i="3"/>
  <c r="F17" i="3"/>
  <c r="B17" i="3"/>
  <c r="W16" i="3"/>
  <c r="F16" i="3"/>
  <c r="B16" i="3"/>
  <c r="W15" i="3"/>
  <c r="F15" i="3"/>
  <c r="B15" i="3"/>
  <c r="W14" i="3"/>
  <c r="F14" i="3"/>
  <c r="B14" i="3"/>
  <c r="W13" i="3"/>
  <c r="F13" i="3"/>
  <c r="B13" i="3"/>
  <c r="W12" i="3"/>
  <c r="F12" i="3"/>
  <c r="B12" i="3"/>
  <c r="W11" i="3"/>
  <c r="F11" i="3"/>
  <c r="B11" i="3"/>
  <c r="W10" i="3"/>
  <c r="F10" i="3"/>
  <c r="B10" i="3"/>
  <c r="W9" i="3"/>
  <c r="F9" i="3"/>
  <c r="B9" i="3"/>
  <c r="W8" i="3"/>
  <c r="F8" i="3"/>
  <c r="B8" i="3"/>
  <c r="W7" i="3"/>
  <c r="F7" i="3"/>
  <c r="B7" i="3"/>
  <c r="W6" i="3"/>
  <c r="F6" i="3"/>
  <c r="B6" i="3"/>
  <c r="W5" i="3"/>
  <c r="F5" i="3"/>
  <c r="B5" i="3"/>
  <c r="W4" i="3"/>
  <c r="F4" i="3"/>
  <c r="B4" i="3"/>
  <c r="B41" i="2"/>
  <c r="B40" i="2"/>
  <c r="B39" i="2"/>
  <c r="B38" i="2"/>
  <c r="B37" i="2"/>
  <c r="B36" i="2"/>
  <c r="B33" i="2"/>
  <c r="B32" i="2"/>
  <c r="B31" i="2"/>
  <c r="B30" i="2"/>
  <c r="B29" i="2"/>
  <c r="B28" i="2"/>
  <c r="B25" i="2"/>
  <c r="B24" i="2"/>
  <c r="B23" i="2"/>
  <c r="B22" i="2"/>
  <c r="B21" i="2"/>
  <c r="B20" i="2"/>
  <c r="B17" i="2"/>
  <c r="B16" i="2"/>
  <c r="B15" i="2"/>
  <c r="B14" i="2"/>
  <c r="B13" i="2"/>
  <c r="B12" i="2"/>
  <c r="B9" i="2"/>
  <c r="B8" i="2"/>
  <c r="B7" i="2"/>
  <c r="B6" i="2"/>
  <c r="B5" i="2"/>
  <c r="B4" i="2"/>
  <c r="J6" i="4" l="1"/>
  <c r="G8" i="4"/>
  <c r="J7" i="4"/>
  <c r="J17" i="4"/>
  <c r="J34" i="4"/>
  <c r="J42" i="4"/>
  <c r="J25" i="4"/>
  <c r="J43" i="4"/>
  <c r="J33" i="4"/>
  <c r="J41" i="4"/>
  <c r="J40" i="4"/>
  <c r="J10" i="4"/>
  <c r="G40" i="4"/>
  <c r="J23" i="4"/>
  <c r="J9" i="4"/>
  <c r="J30" i="4"/>
  <c r="J18" i="4"/>
  <c r="J14" i="4"/>
  <c r="J8" i="4"/>
  <c r="J35" i="4"/>
  <c r="J27" i="4"/>
  <c r="J11" i="4"/>
  <c r="G43" i="4"/>
  <c r="G41" i="4"/>
  <c r="G39" i="4"/>
  <c r="G38" i="4"/>
  <c r="G42" i="4"/>
  <c r="H39" i="4"/>
  <c r="L10" i="4"/>
  <c r="I26" i="4"/>
  <c r="I41" i="4"/>
  <c r="I40" i="4"/>
  <c r="I22" i="4"/>
  <c r="I24" i="4"/>
  <c r="I17" i="4"/>
  <c r="B25" i="6"/>
  <c r="I33" i="4"/>
  <c r="I15" i="4"/>
  <c r="I30" i="4"/>
  <c r="L6" i="4"/>
  <c r="F25" i="6"/>
  <c r="I19" i="4"/>
  <c r="I9" i="4"/>
  <c r="B28" i="6"/>
  <c r="F28" i="6"/>
  <c r="K43" i="4"/>
  <c r="L42" i="4"/>
  <c r="L41" i="4"/>
  <c r="H41" i="4"/>
  <c r="H40" i="4"/>
  <c r="H38" i="4"/>
  <c r="I35" i="4"/>
  <c r="L32" i="4"/>
  <c r="I27" i="4"/>
  <c r="I18" i="4"/>
  <c r="L16" i="4"/>
  <c r="I14" i="4"/>
  <c r="I10" i="4"/>
  <c r="I7" i="4"/>
  <c r="H6" i="4"/>
  <c r="L43" i="4"/>
  <c r="H43" i="4"/>
  <c r="H42" i="4"/>
  <c r="K38" i="4"/>
  <c r="L25" i="4"/>
  <c r="L11" i="4"/>
  <c r="K42" i="4"/>
  <c r="K41" i="4"/>
  <c r="L40" i="4"/>
  <c r="K39" i="4"/>
  <c r="L33" i="4"/>
  <c r="L31" i="4"/>
  <c r="L26" i="4"/>
  <c r="I25" i="4"/>
  <c r="I23" i="4"/>
  <c r="L17" i="4"/>
  <c r="I16" i="4"/>
  <c r="I11" i="4"/>
  <c r="L9" i="4"/>
  <c r="I8" i="4"/>
  <c r="L23" i="4"/>
  <c r="C15" i="7"/>
  <c r="I43" i="4"/>
  <c r="I42" i="4"/>
  <c r="K40" i="4"/>
  <c r="I31" i="4"/>
  <c r="L27" i="4"/>
  <c r="L24" i="4"/>
  <c r="L22" i="4"/>
  <c r="L19" i="4"/>
  <c r="L15" i="4"/>
  <c r="L7" i="4"/>
  <c r="B21" i="6"/>
  <c r="B17" i="6"/>
  <c r="F18" i="6"/>
  <c r="F17" i="6"/>
  <c r="F16" i="6"/>
  <c r="F15" i="6"/>
  <c r="B16" i="6"/>
  <c r="B22" i="6"/>
  <c r="F22" i="6"/>
  <c r="F21" i="6"/>
  <c r="B18" i="6"/>
  <c r="B15" i="6"/>
  <c r="C18" i="7"/>
  <c r="C14" i="7"/>
  <c r="C10" i="7"/>
  <c r="C17" i="7"/>
  <c r="C13" i="7"/>
  <c r="C9" i="7"/>
  <c r="C16" i="7"/>
  <c r="C12" i="7"/>
  <c r="C8" i="7"/>
  <c r="C19" i="7"/>
  <c r="C11" i="7"/>
  <c r="L34" i="4"/>
  <c r="L30" i="4"/>
  <c r="H32" i="4"/>
  <c r="K32" i="4"/>
  <c r="G32" i="4"/>
  <c r="H26" i="4"/>
  <c r="K26" i="4"/>
  <c r="G26" i="4"/>
  <c r="H22" i="4"/>
  <c r="K22" i="4"/>
  <c r="G22" i="4"/>
  <c r="L18" i="4"/>
  <c r="L14" i="4"/>
  <c r="H16" i="4"/>
  <c r="K16" i="4"/>
  <c r="G16" i="4"/>
  <c r="G11" i="4"/>
  <c r="H11" i="4"/>
  <c r="K11" i="4"/>
  <c r="G7" i="4"/>
  <c r="H7" i="4"/>
  <c r="K7" i="4"/>
  <c r="L39" i="4"/>
  <c r="M39" i="4" s="1"/>
  <c r="I39" i="4"/>
  <c r="F39" i="4" s="1"/>
  <c r="L38" i="4"/>
  <c r="M38" i="4" s="1"/>
  <c r="I38" i="4"/>
  <c r="I32" i="4"/>
  <c r="G35" i="4"/>
  <c r="H35" i="4"/>
  <c r="K35" i="4"/>
  <c r="G31" i="4"/>
  <c r="H31" i="4"/>
  <c r="K31" i="4"/>
  <c r="M31" i="4" s="1"/>
  <c r="G25" i="4"/>
  <c r="H25" i="4"/>
  <c r="F25" i="4" s="1"/>
  <c r="K25" i="4"/>
  <c r="J16" i="4"/>
  <c r="G19" i="4"/>
  <c r="H19" i="4"/>
  <c r="F19" i="4" s="1"/>
  <c r="K19" i="4"/>
  <c r="G15" i="4"/>
  <c r="H15" i="4"/>
  <c r="K15" i="4"/>
  <c r="L8" i="4"/>
  <c r="H10" i="4"/>
  <c r="K10" i="4"/>
  <c r="G10" i="4"/>
  <c r="H34" i="4"/>
  <c r="K34" i="4"/>
  <c r="G34" i="4"/>
  <c r="H30" i="4"/>
  <c r="K30" i="4"/>
  <c r="G30" i="4"/>
  <c r="H24" i="4"/>
  <c r="K24" i="4"/>
  <c r="G24" i="4"/>
  <c r="H18" i="4"/>
  <c r="K18" i="4"/>
  <c r="G18" i="4"/>
  <c r="H14" i="4"/>
  <c r="K14" i="4"/>
  <c r="M14" i="4" s="1"/>
  <c r="G14" i="4"/>
  <c r="G9" i="4"/>
  <c r="H9" i="4"/>
  <c r="K9" i="4"/>
  <c r="J39" i="4"/>
  <c r="J38" i="4"/>
  <c r="L35" i="4"/>
  <c r="I34" i="4"/>
  <c r="J32" i="4"/>
  <c r="J31" i="4"/>
  <c r="G33" i="4"/>
  <c r="H33" i="4"/>
  <c r="K33" i="4"/>
  <c r="J26" i="4"/>
  <c r="J24" i="4"/>
  <c r="J22" i="4"/>
  <c r="G27" i="4"/>
  <c r="H27" i="4"/>
  <c r="K27" i="4"/>
  <c r="G23" i="4"/>
  <c r="H23" i="4"/>
  <c r="K23" i="4"/>
  <c r="J19" i="4"/>
  <c r="J15" i="4"/>
  <c r="G17" i="4"/>
  <c r="H17" i="4"/>
  <c r="K17" i="4"/>
  <c r="I6" i="4"/>
  <c r="F6" i="4" s="1"/>
  <c r="K8" i="4"/>
  <c r="H8" i="4"/>
  <c r="K6" i="4"/>
  <c r="G6" i="4"/>
  <c r="M41" i="4" l="1"/>
  <c r="F35" i="4"/>
  <c r="E35" i="4" s="1"/>
  <c r="M34" i="4"/>
  <c r="E39" i="4"/>
  <c r="P39" i="4" s="1"/>
  <c r="F24" i="4"/>
  <c r="E24" i="4" s="1"/>
  <c r="F15" i="4"/>
  <c r="E15" i="4" s="1"/>
  <c r="F11" i="4"/>
  <c r="E11" i="4" s="1"/>
  <c r="F10" i="4"/>
  <c r="E10" i="4" s="1"/>
  <c r="E25" i="4"/>
  <c r="E19" i="4"/>
  <c r="F17" i="4"/>
  <c r="E17" i="4" s="1"/>
  <c r="F41" i="4"/>
  <c r="M16" i="4"/>
  <c r="F40" i="4"/>
  <c r="E40" i="4" s="1"/>
  <c r="M10" i="4"/>
  <c r="M22" i="4"/>
  <c r="M17" i="4"/>
  <c r="M6" i="4"/>
  <c r="M27" i="4"/>
  <c r="F8" i="4"/>
  <c r="E8" i="4" s="1"/>
  <c r="F27" i="4"/>
  <c r="E27" i="4" s="1"/>
  <c r="M15" i="4"/>
  <c r="M11" i="4"/>
  <c r="F26" i="4"/>
  <c r="E26" i="4" s="1"/>
  <c r="M24" i="4"/>
  <c r="M26" i="4"/>
  <c r="M23" i="4"/>
  <c r="F38" i="4"/>
  <c r="E38" i="4" s="1"/>
  <c r="M7" i="4"/>
  <c r="F16" i="4"/>
  <c r="E16" i="4" s="1"/>
  <c r="M42" i="4"/>
  <c r="F33" i="4"/>
  <c r="E33" i="4" s="1"/>
  <c r="F18" i="4"/>
  <c r="E18" i="4" s="1"/>
  <c r="F7" i="4"/>
  <c r="E7" i="4" s="1"/>
  <c r="F22" i="4"/>
  <c r="E22" i="4" s="1"/>
  <c r="M40" i="4"/>
  <c r="F30" i="4"/>
  <c r="E30" i="4" s="1"/>
  <c r="F9" i="4"/>
  <c r="E9" i="4" s="1"/>
  <c r="F14" i="4"/>
  <c r="E14" i="4" s="1"/>
  <c r="M30" i="4"/>
  <c r="M19" i="4"/>
  <c r="M25" i="4"/>
  <c r="F31" i="4"/>
  <c r="M32" i="4"/>
  <c r="M8" i="4"/>
  <c r="F23" i="4"/>
  <c r="E23" i="4" s="1"/>
  <c r="M33" i="4"/>
  <c r="M18" i="4"/>
  <c r="F42" i="4"/>
  <c r="E42" i="4" s="1"/>
  <c r="M9" i="4"/>
  <c r="F43" i="4"/>
  <c r="E43" i="4" s="1"/>
  <c r="M43" i="4"/>
  <c r="M35" i="4"/>
  <c r="F32" i="4"/>
  <c r="E32" i="4" s="1"/>
  <c r="E6" i="4"/>
  <c r="S2" i="4"/>
  <c r="R2" i="6" s="1"/>
  <c r="F34" i="4"/>
  <c r="N39" i="4" l="1"/>
  <c r="E31" i="4"/>
  <c r="N31" i="4" s="1"/>
  <c r="E34" i="4"/>
  <c r="P34" i="4" s="1"/>
  <c r="E41" i="4"/>
  <c r="P41" i="4" s="1"/>
  <c r="P11" i="4"/>
  <c r="P24" i="4"/>
  <c r="P10" i="4"/>
  <c r="N17" i="4"/>
  <c r="P19" i="4"/>
  <c r="N35" i="4"/>
  <c r="P25" i="4"/>
  <c r="P17" i="4"/>
  <c r="P35" i="4"/>
  <c r="P26" i="4"/>
  <c r="N26" i="4"/>
  <c r="N10" i="4"/>
  <c r="P27" i="4"/>
  <c r="N11" i="4"/>
  <c r="P38" i="4"/>
  <c r="P15" i="4"/>
  <c r="N27" i="4"/>
  <c r="P16" i="4"/>
  <c r="N16" i="4"/>
  <c r="N15" i="4"/>
  <c r="N8" i="4"/>
  <c r="N9" i="4"/>
  <c r="N38" i="4"/>
  <c r="P33" i="4"/>
  <c r="N25" i="4"/>
  <c r="P18" i="4"/>
  <c r="N18" i="4"/>
  <c r="N32" i="4"/>
  <c r="P7" i="4"/>
  <c r="P23" i="4"/>
  <c r="N7" i="4"/>
  <c r="N24" i="4"/>
  <c r="P32" i="4"/>
  <c r="P31" i="4"/>
  <c r="N23" i="4"/>
  <c r="P40" i="4"/>
  <c r="N40" i="4"/>
  <c r="P9" i="4"/>
  <c r="P8" i="4"/>
  <c r="N19" i="4"/>
  <c r="N33" i="4"/>
  <c r="N42" i="4"/>
  <c r="P42" i="4"/>
  <c r="N43" i="4"/>
  <c r="P43" i="4"/>
  <c r="P14" i="4"/>
  <c r="N14" i="4"/>
  <c r="P6" i="4"/>
  <c r="N6" i="4"/>
  <c r="P30" i="4"/>
  <c r="N30" i="4"/>
  <c r="P22" i="4"/>
  <c r="N22" i="4"/>
  <c r="N41" i="4" l="1"/>
  <c r="C42" i="4" s="1"/>
  <c r="A42" i="4" s="1"/>
  <c r="N34" i="4"/>
  <c r="C22" i="4"/>
  <c r="A22" i="4" s="1"/>
  <c r="C26" i="4"/>
  <c r="A26" i="4" s="1"/>
  <c r="C24" i="4"/>
  <c r="A24" i="4" s="1"/>
  <c r="Q22" i="4"/>
  <c r="Q24" i="4"/>
  <c r="Q25" i="4"/>
  <c r="Q23" i="4"/>
  <c r="Q26" i="4"/>
  <c r="C23" i="4"/>
  <c r="A23" i="4" s="1"/>
  <c r="C25" i="4"/>
  <c r="A25" i="4" s="1"/>
  <c r="C27" i="4"/>
  <c r="A27" i="4" s="1"/>
  <c r="Q27" i="4"/>
  <c r="Q40" i="4"/>
  <c r="Q11" i="4"/>
  <c r="Q38" i="4"/>
  <c r="Q41" i="4"/>
  <c r="Q42" i="4"/>
  <c r="Q39" i="4"/>
  <c r="Q43" i="4"/>
  <c r="C7" i="4"/>
  <c r="A7" i="4" s="1"/>
  <c r="Q15" i="4"/>
  <c r="Q30" i="4"/>
  <c r="C33" i="4"/>
  <c r="A33" i="4" s="1"/>
  <c r="C34" i="4"/>
  <c r="A34" i="4" s="1"/>
  <c r="Q31" i="4"/>
  <c r="Q35" i="4"/>
  <c r="C35" i="4"/>
  <c r="A35" i="4" s="1"/>
  <c r="C14" i="4"/>
  <c r="A14" i="4" s="1"/>
  <c r="Q33" i="4"/>
  <c r="C32" i="4"/>
  <c r="A32" i="4" s="1"/>
  <c r="C30" i="4"/>
  <c r="C31" i="4"/>
  <c r="A31" i="4" s="1"/>
  <c r="Q32" i="4"/>
  <c r="Q34" i="4"/>
  <c r="C16" i="4"/>
  <c r="A16" i="4" s="1"/>
  <c r="C19" i="4"/>
  <c r="A19" i="4" s="1"/>
  <c r="C18" i="4"/>
  <c r="A18" i="4" s="1"/>
  <c r="Q14" i="4"/>
  <c r="Q19" i="4"/>
  <c r="Q17" i="4"/>
  <c r="C17" i="4"/>
  <c r="A17" i="4" s="1"/>
  <c r="Q18" i="4"/>
  <c r="C15" i="4"/>
  <c r="Q16" i="4"/>
  <c r="C6" i="4"/>
  <c r="C11" i="4"/>
  <c r="A11" i="4" s="1"/>
  <c r="C10" i="4"/>
  <c r="A10" i="4" s="1"/>
  <c r="C9" i="4"/>
  <c r="A9" i="4" s="1"/>
  <c r="Q6" i="4"/>
  <c r="Q8" i="4"/>
  <c r="Q10" i="4"/>
  <c r="Q7" i="4"/>
  <c r="C8" i="4"/>
  <c r="A8" i="4" s="1"/>
  <c r="Q9" i="4"/>
  <c r="C40" i="4" l="1"/>
  <c r="A40" i="4" s="1"/>
  <c r="C43" i="4"/>
  <c r="A43" i="4" s="1"/>
  <c r="C39" i="4"/>
  <c r="A39" i="4" s="1"/>
  <c r="C41" i="4"/>
  <c r="A41" i="4" s="1"/>
  <c r="C38" i="4"/>
  <c r="A38" i="4" s="1"/>
  <c r="E21" i="5"/>
  <c r="D21" i="5"/>
  <c r="J21" i="5"/>
  <c r="H21" i="5"/>
  <c r="K21" i="5"/>
  <c r="L21" i="5"/>
  <c r="G21" i="5"/>
  <c r="F21" i="5"/>
  <c r="M21" i="5"/>
  <c r="C21" i="5"/>
  <c r="B21" i="5"/>
  <c r="I21" i="5"/>
  <c r="J23" i="5"/>
  <c r="L22" i="5"/>
  <c r="C23" i="5"/>
  <c r="I24" i="5"/>
  <c r="F23" i="5"/>
  <c r="F20" i="5"/>
  <c r="G23" i="5"/>
  <c r="C25" i="5"/>
  <c r="F22" i="5"/>
  <c r="E23" i="5"/>
  <c r="L23" i="5"/>
  <c r="K24" i="5"/>
  <c r="I23" i="5"/>
  <c r="B22" i="5"/>
  <c r="M22" i="5"/>
  <c r="H22" i="5"/>
  <c r="I22" i="5"/>
  <c r="F25" i="5"/>
  <c r="D25" i="5"/>
  <c r="K23" i="5"/>
  <c r="F24" i="5"/>
  <c r="H25" i="5"/>
  <c r="M20" i="5"/>
  <c r="E25" i="5"/>
  <c r="B20" i="5"/>
  <c r="K22" i="5"/>
  <c r="E24" i="5"/>
  <c r="E22" i="5"/>
  <c r="J25" i="5"/>
  <c r="M23" i="5"/>
  <c r="G20" i="5"/>
  <c r="H23" i="5"/>
  <c r="D20" i="5"/>
  <c r="C22" i="5"/>
  <c r="D24" i="5"/>
  <c r="G25" i="5"/>
  <c r="C20" i="5"/>
  <c r="J20" i="5"/>
  <c r="D22" i="5"/>
  <c r="J22" i="5"/>
  <c r="H20" i="5"/>
  <c r="G22" i="5"/>
  <c r="B23" i="5"/>
  <c r="L20" i="5"/>
  <c r="L25" i="5"/>
  <c r="G24" i="5"/>
  <c r="B25" i="5"/>
  <c r="M25" i="5"/>
  <c r="I20" i="5"/>
  <c r="H24" i="5"/>
  <c r="B24" i="5"/>
  <c r="L24" i="5"/>
  <c r="C24" i="5"/>
  <c r="J24" i="5"/>
  <c r="I25" i="5"/>
  <c r="E20" i="5"/>
  <c r="D23" i="5"/>
  <c r="M24" i="5"/>
  <c r="K20" i="5"/>
  <c r="K25" i="5"/>
  <c r="M17" i="5"/>
  <c r="F13" i="5"/>
  <c r="K13" i="5"/>
  <c r="C13" i="5"/>
  <c r="M13" i="5"/>
  <c r="B13" i="5"/>
  <c r="G13" i="5"/>
  <c r="E13" i="5"/>
  <c r="D13" i="5"/>
  <c r="J13" i="5"/>
  <c r="G15" i="5"/>
  <c r="L13" i="5"/>
  <c r="I13" i="5"/>
  <c r="H13" i="5"/>
  <c r="H15" i="5"/>
  <c r="H17" i="5"/>
  <c r="G16" i="5"/>
  <c r="D14" i="5"/>
  <c r="K33" i="5"/>
  <c r="G32" i="5"/>
  <c r="C31" i="5"/>
  <c r="K29" i="5"/>
  <c r="G28" i="5"/>
  <c r="B33" i="5"/>
  <c r="J31" i="5"/>
  <c r="F30" i="5"/>
  <c r="B29" i="5"/>
  <c r="M33" i="5"/>
  <c r="I32" i="5"/>
  <c r="E31" i="5"/>
  <c r="M29" i="5"/>
  <c r="I28" i="5"/>
  <c r="D30" i="5"/>
  <c r="D31" i="5"/>
  <c r="D32" i="5"/>
  <c r="D33" i="5"/>
  <c r="B32" i="5"/>
  <c r="F29" i="5"/>
  <c r="I31" i="5"/>
  <c r="M28" i="5"/>
  <c r="H33" i="5"/>
  <c r="D29" i="5"/>
  <c r="G33" i="5"/>
  <c r="C32" i="5"/>
  <c r="K30" i="5"/>
  <c r="G29" i="5"/>
  <c r="C28" i="5"/>
  <c r="J32" i="5"/>
  <c r="F31" i="5"/>
  <c r="B30" i="5"/>
  <c r="J28" i="5"/>
  <c r="I33" i="5"/>
  <c r="E32" i="5"/>
  <c r="M30" i="5"/>
  <c r="I29" i="5"/>
  <c r="E28" i="5"/>
  <c r="L28" i="5"/>
  <c r="L29" i="5"/>
  <c r="L30" i="5"/>
  <c r="L31" i="5"/>
  <c r="A30" i="4"/>
  <c r="K32" i="5"/>
  <c r="C30" i="5"/>
  <c r="K28" i="5"/>
  <c r="J30" i="5"/>
  <c r="M32" i="5"/>
  <c r="E30" i="5"/>
  <c r="H31" i="5"/>
  <c r="D28" i="5"/>
  <c r="C33" i="5"/>
  <c r="K31" i="5"/>
  <c r="G30" i="5"/>
  <c r="C29" i="5"/>
  <c r="J33" i="5"/>
  <c r="F32" i="5"/>
  <c r="B31" i="5"/>
  <c r="J29" i="5"/>
  <c r="F28" i="5"/>
  <c r="E33" i="5"/>
  <c r="M31" i="5"/>
  <c r="I30" i="5"/>
  <c r="E29" i="5"/>
  <c r="L32" i="5"/>
  <c r="L33" i="5"/>
  <c r="H28" i="5"/>
  <c r="H29" i="5"/>
  <c r="H30" i="5"/>
  <c r="G31" i="5"/>
  <c r="F33" i="5"/>
  <c r="B28" i="5"/>
  <c r="H32" i="5"/>
  <c r="C14" i="5"/>
  <c r="H14" i="5"/>
  <c r="E12" i="5"/>
  <c r="K14" i="5"/>
  <c r="L15" i="5"/>
  <c r="B16" i="5"/>
  <c r="B17" i="5"/>
  <c r="J14" i="5"/>
  <c r="D17" i="5"/>
  <c r="E14" i="5"/>
  <c r="F15" i="5"/>
  <c r="L12" i="5"/>
  <c r="C15" i="5"/>
  <c r="J15" i="5"/>
  <c r="L14" i="5"/>
  <c r="H16" i="5"/>
  <c r="B14" i="5"/>
  <c r="A15" i="4"/>
  <c r="K15" i="5"/>
  <c r="D16" i="5"/>
  <c r="E17" i="5"/>
  <c r="I14" i="5"/>
  <c r="H12" i="5"/>
  <c r="M12" i="5"/>
  <c r="C17" i="5"/>
  <c r="J17" i="5"/>
  <c r="F16" i="5"/>
  <c r="B15" i="5"/>
  <c r="F12" i="5"/>
  <c r="L17" i="5"/>
  <c r="I15" i="5"/>
  <c r="G14" i="5"/>
  <c r="D15" i="5"/>
  <c r="K12" i="5"/>
  <c r="I16" i="5"/>
  <c r="I17" i="5"/>
  <c r="F14" i="5"/>
  <c r="D12" i="5"/>
  <c r="G17" i="5"/>
  <c r="C12" i="5"/>
  <c r="J12" i="5"/>
  <c r="E15" i="5"/>
  <c r="E16" i="5"/>
  <c r="K16" i="5"/>
  <c r="F17" i="5"/>
  <c r="B12" i="5"/>
  <c r="M14" i="5"/>
  <c r="K17" i="5"/>
  <c r="G12" i="5"/>
  <c r="M15" i="5"/>
  <c r="M16" i="5"/>
  <c r="C16" i="5"/>
  <c r="J16" i="5"/>
  <c r="L16" i="5"/>
  <c r="I12" i="5"/>
  <c r="C9" i="5"/>
  <c r="K7" i="5"/>
  <c r="G6" i="5"/>
  <c r="C5" i="5"/>
  <c r="J9" i="5"/>
  <c r="F8" i="5"/>
  <c r="B7" i="5"/>
  <c r="J5" i="5"/>
  <c r="F4" i="5"/>
  <c r="D8" i="5"/>
  <c r="H5" i="5"/>
  <c r="E9" i="5"/>
  <c r="I6" i="5"/>
  <c r="L9" i="5"/>
  <c r="D7" i="5"/>
  <c r="H4" i="5"/>
  <c r="I7" i="5"/>
  <c r="M4" i="5"/>
  <c r="G8" i="5"/>
  <c r="K5" i="5"/>
  <c r="B9" i="5"/>
  <c r="F6" i="5"/>
  <c r="H9" i="5"/>
  <c r="D4" i="5"/>
  <c r="E5" i="5"/>
  <c r="L5" i="5"/>
  <c r="E6" i="5"/>
  <c r="K6" i="5"/>
  <c r="B6" i="5"/>
  <c r="E7" i="5"/>
  <c r="I5" i="5"/>
  <c r="A6" i="4"/>
  <c r="K8" i="5"/>
  <c r="G7" i="5"/>
  <c r="C6" i="5"/>
  <c r="K4" i="5"/>
  <c r="F9" i="5"/>
  <c r="B8" i="5"/>
  <c r="J6" i="5"/>
  <c r="F5" i="5"/>
  <c r="B4" i="5"/>
  <c r="H7" i="5"/>
  <c r="L4" i="5"/>
  <c r="I8" i="5"/>
  <c r="M5" i="5"/>
  <c r="D9" i="5"/>
  <c r="H6" i="5"/>
  <c r="I9" i="5"/>
  <c r="M6" i="5"/>
  <c r="E4" i="5"/>
  <c r="K9" i="5"/>
  <c r="C7" i="5"/>
  <c r="G4" i="5"/>
  <c r="J7" i="5"/>
  <c r="B5" i="5"/>
  <c r="L6" i="5"/>
  <c r="M7" i="5"/>
  <c r="H8" i="5"/>
  <c r="M8" i="5"/>
  <c r="G9" i="5"/>
  <c r="G5" i="5"/>
  <c r="J8" i="5"/>
  <c r="J4" i="5"/>
  <c r="D6" i="5"/>
  <c r="I4" i="5"/>
  <c r="D5" i="5"/>
  <c r="C8" i="5"/>
  <c r="C4" i="5"/>
  <c r="F7" i="5"/>
  <c r="L8" i="5"/>
  <c r="M9" i="5"/>
  <c r="L7" i="5"/>
  <c r="E8" i="5"/>
  <c r="F38" i="5" l="1"/>
  <c r="C37" i="5"/>
  <c r="M41" i="5"/>
  <c r="I40" i="5"/>
  <c r="E37" i="5"/>
  <c r="L36" i="5"/>
  <c r="M37" i="5"/>
  <c r="E39" i="5"/>
  <c r="E36" i="5"/>
  <c r="C38" i="5"/>
  <c r="B40" i="5"/>
  <c r="F39" i="5"/>
  <c r="C36" i="5"/>
  <c r="M38" i="5"/>
  <c r="D41" i="5"/>
  <c r="L41" i="5"/>
  <c r="B38" i="5"/>
  <c r="J38" i="5"/>
  <c r="J41" i="5"/>
  <c r="J36" i="5"/>
  <c r="G38" i="5"/>
  <c r="K40" i="5"/>
  <c r="C41" i="5"/>
  <c r="F37" i="5"/>
  <c r="I36" i="5"/>
  <c r="C40" i="5"/>
  <c r="J37" i="5"/>
  <c r="L40" i="5"/>
  <c r="L38" i="5"/>
  <c r="E40" i="5"/>
  <c r="K36" i="5"/>
  <c r="M36" i="5"/>
  <c r="H38" i="5"/>
  <c r="G36" i="5"/>
  <c r="H41" i="5"/>
  <c r="I37" i="5"/>
  <c r="D36" i="5"/>
  <c r="H36" i="5"/>
  <c r="I38" i="5"/>
  <c r="G40" i="5"/>
  <c r="H40" i="5"/>
  <c r="J40" i="5"/>
  <c r="F40" i="5"/>
  <c r="D40" i="5"/>
  <c r="F36" i="5"/>
  <c r="H37" i="5"/>
  <c r="K41" i="5"/>
  <c r="F41" i="5"/>
  <c r="D37" i="5"/>
  <c r="B37" i="5"/>
  <c r="G41" i="5"/>
  <c r="D38" i="5"/>
  <c r="E38" i="5"/>
  <c r="K37" i="5"/>
  <c r="G37" i="5"/>
  <c r="B41" i="5"/>
  <c r="B39" i="5"/>
  <c r="I41" i="5"/>
  <c r="L37" i="5"/>
  <c r="B36" i="5"/>
  <c r="K38" i="5"/>
  <c r="E41" i="5"/>
  <c r="M40" i="5"/>
  <c r="L39" i="5"/>
  <c r="K39" i="5"/>
  <c r="I39" i="5"/>
  <c r="D39" i="5"/>
  <c r="C39" i="5"/>
  <c r="G39" i="5"/>
  <c r="H39" i="5"/>
  <c r="J39" i="5"/>
  <c r="M39" i="5"/>
  <c r="D80" i="4"/>
  <c r="E47" i="4"/>
  <c r="D83" i="4"/>
  <c r="D78" i="4"/>
  <c r="D86" i="4"/>
  <c r="D81" i="4"/>
  <c r="D67" i="4"/>
  <c r="D59" i="4"/>
  <c r="D68" i="4"/>
  <c r="D60" i="4"/>
  <c r="D46" i="4"/>
  <c r="D61" i="4"/>
  <c r="D49" i="4"/>
  <c r="D54" i="4"/>
  <c r="E67" i="4"/>
  <c r="E78" i="4"/>
  <c r="E86" i="4"/>
  <c r="E50" i="4"/>
  <c r="E79" i="4"/>
  <c r="E60" i="4"/>
  <c r="E61" i="4"/>
  <c r="E62" i="4"/>
  <c r="D48" i="4"/>
  <c r="E82" i="4"/>
  <c r="E77" i="4"/>
  <c r="E85" i="4"/>
  <c r="E80" i="4"/>
  <c r="E49" i="4"/>
  <c r="E83" i="4"/>
  <c r="E64" i="4"/>
  <c r="E56" i="4"/>
  <c r="E65" i="4"/>
  <c r="E57" i="4"/>
  <c r="E66" i="4"/>
  <c r="E58" i="4"/>
  <c r="D66" i="4"/>
  <c r="E63" i="4"/>
  <c r="D62" i="4"/>
  <c r="E54" i="4"/>
  <c r="E48" i="4"/>
  <c r="D84" i="4"/>
  <c r="D79" i="4"/>
  <c r="E46" i="4"/>
  <c r="D82" i="4"/>
  <c r="D77" i="4"/>
  <c r="D85" i="4"/>
  <c r="D63" i="4"/>
  <c r="D55" i="4"/>
  <c r="D64" i="4"/>
  <c r="D56" i="4"/>
  <c r="D65" i="4"/>
  <c r="D57" i="4"/>
  <c r="E55" i="4"/>
  <c r="D58" i="4"/>
  <c r="E81" i="4"/>
  <c r="E84" i="4"/>
  <c r="E68" i="4"/>
  <c r="D47" i="4"/>
  <c r="D50" i="4"/>
  <c r="E59" i="4"/>
  <c r="C46" i="4" l="1"/>
  <c r="A46" i="4" s="1"/>
  <c r="C48" i="4"/>
  <c r="A48" i="4" s="1"/>
  <c r="C50" i="4"/>
  <c r="A50" i="4" s="1"/>
  <c r="C49" i="4"/>
  <c r="A49" i="4" s="1"/>
  <c r="C47" i="4"/>
  <c r="A47" i="4" s="1"/>
  <c r="B69" i="4" l="1"/>
  <c r="D69" i="4" s="1"/>
  <c r="B74" i="4"/>
  <c r="D74" i="4" s="1"/>
  <c r="B75" i="4"/>
  <c r="E75" i="4" s="1"/>
  <c r="B73" i="4"/>
  <c r="D73" i="4" s="1"/>
  <c r="B76" i="4"/>
  <c r="D76" i="4" s="1"/>
  <c r="E74" i="4" l="1"/>
  <c r="E69" i="4"/>
  <c r="C69" i="4" s="1"/>
  <c r="D75" i="4"/>
  <c r="E76" i="4"/>
  <c r="E73" i="4"/>
  <c r="C74" i="4" l="1"/>
  <c r="C65" i="4"/>
  <c r="C66" i="4"/>
  <c r="C61" i="4"/>
  <c r="C75" i="4"/>
  <c r="C64" i="4"/>
  <c r="C55" i="4"/>
  <c r="C57" i="4"/>
  <c r="C67" i="4"/>
  <c r="C60" i="4"/>
  <c r="C58" i="4"/>
  <c r="C63" i="4"/>
  <c r="C59" i="4"/>
  <c r="C56" i="4"/>
  <c r="C62" i="4"/>
  <c r="C54" i="4"/>
  <c r="C76" i="4"/>
  <c r="C68" i="4"/>
  <c r="C81" i="4"/>
  <c r="C82" i="4"/>
  <c r="C78" i="4"/>
  <c r="C85" i="4"/>
  <c r="C86" i="4"/>
  <c r="C77" i="4"/>
  <c r="C73" i="4"/>
  <c r="C84" i="4"/>
  <c r="C83" i="4"/>
  <c r="C80" i="4"/>
  <c r="C79" i="4"/>
  <c r="B6" i="6" l="1"/>
  <c r="B8" i="6"/>
  <c r="B5" i="6"/>
  <c r="F9" i="6"/>
  <c r="B10" i="6"/>
  <c r="B12" i="6"/>
  <c r="F12" i="6"/>
  <c r="F5" i="6"/>
  <c r="F7" i="6"/>
  <c r="F6" i="6"/>
  <c r="B7" i="6"/>
  <c r="F11" i="6"/>
  <c r="F8" i="6"/>
  <c r="F10" i="6"/>
  <c r="B11" i="6"/>
  <c r="B9" i="6"/>
  <c r="C25" i="7"/>
  <c r="C29" i="7"/>
  <c r="C27" i="7"/>
  <c r="C26" i="7"/>
  <c r="C20" i="7"/>
  <c r="C28" i="7"/>
  <c r="C31" i="7"/>
  <c r="C30" i="7"/>
  <c r="C23" i="7"/>
  <c r="C33" i="7"/>
  <c r="C21" i="7"/>
  <c r="C32" i="7"/>
  <c r="C24" i="7"/>
  <c r="C22" i="7"/>
  <c r="C6" i="7" l="1"/>
  <c r="C5" i="7"/>
  <c r="C7" i="7"/>
  <c r="C4" i="7"/>
</calcChain>
</file>

<file path=xl/sharedStrings.xml><?xml version="1.0" encoding="utf-8"?>
<sst xmlns="http://schemas.openxmlformats.org/spreadsheetml/2006/main" count="594" uniqueCount="146">
  <si>
    <t>1° ETAPA DADINHO FPFM 2023 - 12/02/2023 - Equipes</t>
  </si>
  <si>
    <t>JJFUTMESA - jjoliveirajr@jjfutmesa.com.br</t>
  </si>
  <si>
    <t>1° ETAPA DADINHO FPFM 2023 - 12/02/2023 - Grupos</t>
  </si>
  <si>
    <t>Grupo A</t>
  </si>
  <si>
    <t>Grupo B</t>
  </si>
  <si>
    <t>Grupo C</t>
  </si>
  <si>
    <t>Grupo D</t>
  </si>
  <si>
    <t>Grupo E</t>
  </si>
  <si>
    <t>1° ETAPA DADINHO FPFM 2023 - 12/02/2023 - Jogos</t>
  </si>
  <si>
    <t>TJ</t>
  </si>
  <si>
    <t>1ª rodada</t>
  </si>
  <si>
    <t>Mesa</t>
  </si>
  <si>
    <t>Grupo</t>
  </si>
  <si>
    <t>Rodada</t>
  </si>
  <si>
    <t>J</t>
  </si>
  <si>
    <t>V</t>
  </si>
  <si>
    <t>E</t>
  </si>
  <si>
    <t>D</t>
  </si>
  <si>
    <t>M</t>
  </si>
  <si>
    <t>GPm</t>
  </si>
  <si>
    <t>GPv</t>
  </si>
  <si>
    <t>GCv</t>
  </si>
  <si>
    <t>x</t>
  </si>
  <si>
    <t>A</t>
  </si>
  <si>
    <t>B</t>
  </si>
  <si>
    <t>C</t>
  </si>
  <si>
    <t>2ª rodada</t>
  </si>
  <si>
    <t>3ª rodada</t>
  </si>
  <si>
    <t>4ª rodada</t>
  </si>
  <si>
    <t>5ª rodada</t>
  </si>
  <si>
    <t>1° ETAPA DADINHO FPFM 2023 - 12/02/2023 - ClassGrupFases</t>
  </si>
  <si>
    <t>Key</t>
  </si>
  <si>
    <t>Atletas</t>
  </si>
  <si>
    <t>%AP</t>
  </si>
  <si>
    <t>PTS</t>
  </si>
  <si>
    <t>GP</t>
  </si>
  <si>
    <t>GC</t>
  </si>
  <si>
    <t>SG</t>
  </si>
  <si>
    <t>ID</t>
  </si>
  <si>
    <t>TR</t>
  </si>
  <si>
    <t>1° ETAPA DADINHO FPFM 2023 - 12/02/2023 - Classificação</t>
  </si>
  <si>
    <t>4A</t>
  </si>
  <si>
    <t>4B</t>
  </si>
  <si>
    <t>4C</t>
  </si>
  <si>
    <t>4D</t>
  </si>
  <si>
    <t>4E</t>
  </si>
  <si>
    <t>IN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</si>
  <si>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</si>
  <si>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</si>
  <si>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</si>
  <si>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</si>
  <si>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</si>
  <si>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</si>
  <si>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</si>
  <si>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</si>
  <si>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</si>
  <si>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</si>
  <si>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</si>
  <si>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</si>
  <si>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</si>
  <si>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</si>
  <si>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</si>
  <si>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OUT</t>
  </si>
  <si>
    <t>5A</t>
  </si>
  <si>
    <t>6A</t>
  </si>
  <si>
    <t>5B</t>
  </si>
  <si>
    <t>6B</t>
  </si>
  <si>
    <t>5C</t>
  </si>
  <si>
    <t>6C</t>
  </si>
  <si>
    <t>5D</t>
  </si>
  <si>
    <t>6D</t>
  </si>
  <si>
    <t>5E</t>
  </si>
  <si>
    <t>6E</t>
  </si>
  <si>
    <t>1° ETAPA DADINHO FPFM 2023 - 12/02/2023 - FINAIS</t>
  </si>
  <si>
    <t>CHECK</t>
  </si>
  <si>
    <t>Oitavas de Final</t>
  </si>
  <si>
    <t>RODADA ÚNICA</t>
  </si>
  <si>
    <t>MESA</t>
  </si>
  <si>
    <t>PASSA</t>
  </si>
  <si>
    <t>NÃO PASSA</t>
  </si>
  <si>
    <t>Quartas de Final</t>
  </si>
  <si>
    <t>Semifinais</t>
  </si>
  <si>
    <t>Disputa de 3º lugar</t>
  </si>
  <si>
    <t>Final</t>
  </si>
  <si>
    <t>CLASSIFICAÇÃO FINAL</t>
  </si>
  <si>
    <t>1° ETAPA DADINHO FPFM 2023 - 12/02/2023 - Premiação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</si>
  <si>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</si>
  <si>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</si>
  <si>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</si>
  <si>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</si>
  <si>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</si>
  <si>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</si>
  <si>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</si>
  <si>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</si>
  <si>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</si>
  <si>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</si>
  <si>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</si>
  <si>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</si>
  <si>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</si>
  <si>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</si>
  <si>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</si>
  <si>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</si>
  <si>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</si>
  <si>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</si>
  <si>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</si>
  <si>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</si>
  <si>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</si>
  <si>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</si>
  <si>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</si>
  <si>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</si>
  <si>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</si>
  <si>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</si>
  <si>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</si>
  <si>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</si>
  <si>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</si>
  <si>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</si>
  <si>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PABLO MARTINS(SCCP)</t>
  </si>
  <si>
    <t>RODRIGO MORO(SCCP)</t>
  </si>
  <si>
    <t>CRISTIANO JOSÉ(LSJC)</t>
  </si>
  <si>
    <t>PROFESSOR(LSJC)</t>
  </si>
  <si>
    <t>MICA(MZ)</t>
  </si>
  <si>
    <t>DIOGO(2004)</t>
  </si>
  <si>
    <t>MARCOS WILLOW(SCCP)</t>
  </si>
  <si>
    <t>TERUEL(SCCP)</t>
  </si>
  <si>
    <t>MARIELCIO(LSJC)</t>
  </si>
  <si>
    <t>MURA(MZ)</t>
  </si>
  <si>
    <t>LÉO CARIOCA(MZ)</t>
  </si>
  <si>
    <t>MARCÃO SILVA(SPFC)</t>
  </si>
  <si>
    <t>SALLYS(SCCP)</t>
  </si>
  <si>
    <t>VINICIUS ROLIM(SCCP)</t>
  </si>
  <si>
    <t>LUIZ MOREIRA(LSJC)</t>
  </si>
  <si>
    <t>RUAS(2004)</t>
  </si>
  <si>
    <t>ELSIO(SPFC)</t>
  </si>
  <si>
    <t>REGINALDO(SCCP)</t>
  </si>
  <si>
    <t>GALDEANO(SCCP)</t>
  </si>
  <si>
    <t>TUPINAMBÁ(LSJC)</t>
  </si>
  <si>
    <t>LUIZ COELHO(MZ)</t>
  </si>
  <si>
    <t>PEPE 2004(2004)</t>
  </si>
  <si>
    <t>ZÉ LUIZ(SPFC)</t>
  </si>
  <si>
    <t>RAFAEL BALIEIRO(LSJC)</t>
  </si>
  <si>
    <t>DJ IURY(LSJC)</t>
  </si>
  <si>
    <t>CORTEZ (MZ)</t>
  </si>
  <si>
    <t>JEFFERSON TABAJARA(2004)</t>
  </si>
  <si>
    <t>ERISMAR(MZ)</t>
  </si>
  <si>
    <t>NORBERTO(7/9)</t>
  </si>
  <si>
    <t>ANDRÉ COELHO(SCCP)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</si>
</sst>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h"/>
    <numFmt numFmtId="165" formatCode="0.0%"/>
    <numFmt numFmtId="166" formatCode="#\º"/>
    <numFmt numFmtId="167" formatCode="hh\.mm\h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indexed="8"/>
      <name val="Copperplate Gothic Bold"/>
    </font>
    <font>
      <sz val="10"/>
      <color indexed="12"/>
      <name val="Arial"/>
    </font>
    <font>
      <sz val="12"/>
      <color indexed="9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</font>
    <font>
      <sz val="8"/>
      <color indexed="10"/>
      <name val="Calibri"/>
      <family val="2"/>
    </font>
    <font>
      <sz val="12"/>
      <color theme="1"/>
      <name val="Segoe UI Light"/>
    </font>
    <font>
      <sz val="8"/>
      <color theme="1"/>
      <name val="Segoe UI Light"/>
    </font>
    <font>
      <sz val="8"/>
      <color indexed="10"/>
      <name val="Segoe UI Light"/>
    </font>
    <font>
      <sz val="8"/>
      <color indexed="12"/>
      <name val="Segoe UI Light"/>
    </font>
    <font>
      <b/>
      <sz val="16"/>
      <color indexed="9"/>
      <name val="Segoe UI Light"/>
    </font>
    <font>
      <b/>
      <sz val="8"/>
      <color theme="1"/>
      <name val="Segoe UI Light"/>
    </font>
    <font>
      <sz val="8"/>
      <color indexed="9"/>
      <name val="Segoe UI Light"/>
    </font>
    <font>
      <sz val="12"/>
      <color indexed="9"/>
      <name val="Segoe UI Light"/>
    </font>
    <font>
      <sz val="12"/>
      <color indexed="8"/>
      <name val="Segoe UI Light"/>
    </font>
    <font>
      <b/>
      <sz val="12"/>
      <color indexed="9"/>
      <name val="Segoe UI Light"/>
    </font>
    <font>
      <b/>
      <sz val="12"/>
      <color theme="1"/>
      <name val="Segoe UI Light"/>
    </font>
    <font>
      <b/>
      <sz val="12"/>
      <color indexed="8"/>
      <name val="Segoe UI Light"/>
    </font>
    <font>
      <b/>
      <sz val="8"/>
      <color indexed="12"/>
      <name val="Segoe UI Light"/>
    </font>
    <font>
      <b/>
      <sz val="8"/>
      <color indexed="10"/>
      <name val="Segoe UI Light"/>
    </font>
    <font>
      <b/>
      <sz val="14"/>
      <color theme="1"/>
      <name val="Segoe UI Light"/>
    </font>
    <font>
      <b/>
      <sz val="16"/>
      <color indexed="8"/>
      <name val="Copperplate Gothic Bold"/>
    </font>
    <font>
      <b/>
      <sz val="10"/>
      <color indexed="12"/>
      <name val="Arial"/>
    </font>
    <font>
      <sz val="10"/>
      <color indexed="23"/>
      <name val="Segoe UI Light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" fillId="2" borderId="0" xfId="0" applyFont="1" applyFill="1" applyProtection="1">
      <protection locked="0"/>
    </xf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" fillId="2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4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7" fillId="5" borderId="2" xfId="0" applyFont="1" applyFill="1" applyBorder="1" applyAlignment="1" applyProtection="1">
      <alignment horizontal="center"/>
      <protection hidden="1"/>
    </xf>
    <xf numFmtId="0" fontId="18" fillId="6" borderId="2" xfId="0" applyFont="1" applyFill="1" applyBorder="1" applyAlignment="1" applyProtection="1">
      <alignment horizontal="left"/>
      <protection hidden="1"/>
    </xf>
    <xf numFmtId="0" fontId="18" fillId="6" borderId="2" xfId="0" applyFont="1" applyFill="1" applyBorder="1" applyAlignment="1" applyProtection="1">
      <alignment horizontal="right"/>
      <protection hidden="1"/>
    </xf>
    <xf numFmtId="166" fontId="8" fillId="0" borderId="2" xfId="0" applyNumberFormat="1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left"/>
      <protection hidden="1"/>
    </xf>
    <xf numFmtId="165" fontId="8" fillId="0" borderId="2" xfId="0" applyNumberFormat="1" applyFont="1" applyBorder="1" applyAlignment="1" applyProtection="1">
      <alignment horizontal="right"/>
      <protection hidden="1"/>
    </xf>
    <xf numFmtId="0" fontId="8" fillId="0" borderId="2" xfId="0" applyFont="1" applyBorder="1" applyAlignment="1" applyProtection="1">
      <alignment horizontal="right"/>
      <protection hidden="1"/>
    </xf>
    <xf numFmtId="166" fontId="8" fillId="0" borderId="1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165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2" fillId="9" borderId="0" xfId="0" applyFont="1" applyFill="1" applyAlignment="1">
      <alignment horizontal="centerContinuous"/>
    </xf>
    <xf numFmtId="167" fontId="18" fillId="0" borderId="0" xfId="0" applyNumberFormat="1" applyFont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1" fillId="6" borderId="0" xfId="0" applyFont="1" applyFill="1" applyAlignment="1">
      <alignment horizontal="centerContinuous"/>
    </xf>
    <xf numFmtId="0" fontId="20" fillId="6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21" fillId="6" borderId="0" xfId="0" applyFont="1" applyFill="1" applyAlignment="1">
      <alignment horizontal="centerContinuous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8" fillId="2" borderId="0" xfId="0" applyFont="1" applyFill="1" applyAlignment="1" applyProtection="1">
      <alignment horizontal="center"/>
      <protection locked="0"/>
    </xf>
    <xf numFmtId="0" fontId="22" fillId="0" borderId="0" xfId="0" applyFont="1"/>
    <xf numFmtId="0" fontId="23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/>
      <protection hidden="1"/>
    </xf>
    <xf numFmtId="0" fontId="12" fillId="9" borderId="0" xfId="0" applyFont="1" applyFill="1" applyAlignment="1" applyProtection="1">
      <alignment horizontal="centerContinuous"/>
      <protection hidden="1"/>
    </xf>
    <xf numFmtId="0" fontId="22" fillId="10" borderId="2" xfId="0" applyFont="1" applyFill="1" applyBorder="1" applyAlignment="1" applyProtection="1">
      <alignment horizontal="center"/>
      <protection hidden="1"/>
    </xf>
    <xf numFmtId="0" fontId="22" fillId="6" borderId="2" xfId="0" applyFont="1" applyFill="1" applyBorder="1" applyAlignment="1" applyProtection="1">
      <alignment horizontal="left"/>
      <protection hidden="1"/>
    </xf>
    <xf numFmtId="0" fontId="22" fillId="0" borderId="2" xfId="0" applyFont="1" applyBorder="1" applyAlignment="1" applyProtection="1">
      <alignment horizontal="center"/>
      <protection hidden="1"/>
    </xf>
    <xf numFmtId="0" fontId="22" fillId="0" borderId="2" xfId="0" applyFont="1" applyBorder="1" applyAlignment="1" applyProtection="1">
      <alignment horizontal="left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2" sqref="B32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3" width="10.875" style="4"/>
    <col min="4" max="16384" width="10.875" style="1"/>
  </cols>
  <sheetData>
    <row r="1" spans="1:3" ht="20.25" x14ac:dyDescent="0.3">
      <c r="B1" s="2" t="s">
        <v>0</v>
      </c>
    </row>
    <row r="2" spans="1:3" x14ac:dyDescent="0.25">
      <c r="B2" s="3" t="s">
        <v>1</v>
      </c>
    </row>
    <row r="3" spans="1:3" x14ac:dyDescent="0.25">
      <c r="A3" s="5">
        <v>1</v>
      </c>
      <c r="B3" s="6" t="s">
        <v>116</v>
      </c>
      <c r="C3" s="4">
        <v>0.6056939959526062</v>
      </c>
    </row>
    <row r="4" spans="1:3" x14ac:dyDescent="0.25">
      <c r="A4" s="5">
        <v>2</v>
      </c>
      <c r="B4" s="6" t="s">
        <v>119</v>
      </c>
      <c r="C4" s="4">
        <v>0.2409435510635376</v>
      </c>
    </row>
    <row r="5" spans="1:3" x14ac:dyDescent="0.25">
      <c r="A5" s="5">
        <v>3</v>
      </c>
      <c r="B5" s="6" t="s">
        <v>120</v>
      </c>
      <c r="C5" s="4">
        <v>0.48952227830886841</v>
      </c>
    </row>
    <row r="6" spans="1:3" x14ac:dyDescent="0.25">
      <c r="A6" s="5">
        <v>4</v>
      </c>
      <c r="B6" s="6" t="s">
        <v>117</v>
      </c>
      <c r="C6" s="4">
        <v>0.61915230751037598</v>
      </c>
    </row>
    <row r="7" spans="1:3" x14ac:dyDescent="0.25">
      <c r="A7" s="5">
        <v>5</v>
      </c>
      <c r="B7" s="6" t="s">
        <v>118</v>
      </c>
      <c r="C7" s="4">
        <v>0.90236610174179077</v>
      </c>
    </row>
    <row r="8" spans="1:3" x14ac:dyDescent="0.25">
      <c r="A8" s="5">
        <v>6</v>
      </c>
      <c r="B8" s="6" t="s">
        <v>121</v>
      </c>
      <c r="C8" s="4">
        <v>0.64034068584442139</v>
      </c>
    </row>
    <row r="9" spans="1:3" x14ac:dyDescent="0.25">
      <c r="A9" s="5">
        <v>7</v>
      </c>
      <c r="B9" s="6" t="s">
        <v>122</v>
      </c>
      <c r="C9" s="4">
        <v>0.37621551752090454</v>
      </c>
    </row>
    <row r="10" spans="1:3" x14ac:dyDescent="0.25">
      <c r="A10" s="5">
        <v>8</v>
      </c>
      <c r="B10" s="6" t="s">
        <v>125</v>
      </c>
      <c r="C10" s="4">
        <v>0.30953645706176758</v>
      </c>
    </row>
    <row r="11" spans="1:3" x14ac:dyDescent="0.25">
      <c r="A11" s="5">
        <v>9</v>
      </c>
      <c r="B11" s="6" t="s">
        <v>124</v>
      </c>
      <c r="C11" s="4">
        <v>0.69652432203292847</v>
      </c>
    </row>
    <row r="12" spans="1:3" x14ac:dyDescent="0.25">
      <c r="A12" s="5">
        <v>10</v>
      </c>
      <c r="B12" s="6" t="s">
        <v>123</v>
      </c>
      <c r="C12" s="4">
        <v>0.3619920015335083</v>
      </c>
    </row>
    <row r="13" spans="1:3" x14ac:dyDescent="0.25">
      <c r="A13" s="5">
        <v>11</v>
      </c>
      <c r="B13" s="6" t="s">
        <v>126</v>
      </c>
      <c r="C13" s="4">
        <v>0.5851629376411438</v>
      </c>
    </row>
    <row r="14" spans="1:3" x14ac:dyDescent="0.25">
      <c r="A14" s="5">
        <v>12</v>
      </c>
      <c r="B14" s="6" t="s">
        <v>127</v>
      </c>
      <c r="C14" s="4">
        <v>0.3058631420135498</v>
      </c>
    </row>
    <row r="15" spans="1:3" x14ac:dyDescent="0.25">
      <c r="A15" s="5">
        <v>13</v>
      </c>
      <c r="B15" s="6" t="s">
        <v>128</v>
      </c>
      <c r="C15" s="4">
        <v>0.29808992147445679</v>
      </c>
    </row>
    <row r="16" spans="1:3" x14ac:dyDescent="0.25">
      <c r="A16" s="5">
        <v>14</v>
      </c>
      <c r="B16" s="6" t="s">
        <v>143</v>
      </c>
      <c r="C16" s="4">
        <v>0.40003812313079834</v>
      </c>
    </row>
    <row r="17" spans="1:3" x14ac:dyDescent="0.25">
      <c r="A17" s="5">
        <v>15</v>
      </c>
      <c r="B17" s="6" t="s">
        <v>130</v>
      </c>
      <c r="C17" s="4">
        <v>0.35977274179458618</v>
      </c>
    </row>
    <row r="18" spans="1:3" x14ac:dyDescent="0.25">
      <c r="A18" s="5">
        <v>16</v>
      </c>
      <c r="B18" s="6" t="s">
        <v>129</v>
      </c>
      <c r="C18" s="4">
        <v>0.36931705474853516</v>
      </c>
    </row>
    <row r="19" spans="1:3" x14ac:dyDescent="0.25">
      <c r="A19" s="5">
        <v>17</v>
      </c>
      <c r="B19" s="6" t="s">
        <v>131</v>
      </c>
      <c r="C19" s="4">
        <v>0.48162955045700073</v>
      </c>
    </row>
    <row r="20" spans="1:3" x14ac:dyDescent="0.25">
      <c r="A20" s="5">
        <v>18</v>
      </c>
      <c r="B20" s="6" t="s">
        <v>132</v>
      </c>
      <c r="C20" s="4">
        <v>0.738167405128479</v>
      </c>
    </row>
    <row r="21" spans="1:3" x14ac:dyDescent="0.25">
      <c r="A21" s="5">
        <v>19</v>
      </c>
      <c r="B21" s="6" t="s">
        <v>133</v>
      </c>
      <c r="C21" s="4">
        <v>0.93593055009841919</v>
      </c>
    </row>
    <row r="22" spans="1:3" x14ac:dyDescent="0.25">
      <c r="A22" s="5">
        <v>20</v>
      </c>
      <c r="B22" s="6" t="s">
        <v>136</v>
      </c>
      <c r="C22" s="4">
        <v>0.74916577339172363</v>
      </c>
    </row>
    <row r="23" spans="1:3" x14ac:dyDescent="0.25">
      <c r="A23" s="5">
        <v>21</v>
      </c>
      <c r="B23" s="6" t="s">
        <v>135</v>
      </c>
      <c r="C23" s="4">
        <v>0.7159847617149353</v>
      </c>
    </row>
    <row r="24" spans="1:3" x14ac:dyDescent="0.25">
      <c r="A24" s="5">
        <v>22</v>
      </c>
      <c r="B24" s="6" t="s">
        <v>134</v>
      </c>
      <c r="C24" s="4">
        <v>0.40900313854217529</v>
      </c>
    </row>
    <row r="25" spans="1:3" x14ac:dyDescent="0.25">
      <c r="A25" s="5">
        <v>23</v>
      </c>
      <c r="B25" s="6" t="s">
        <v>137</v>
      </c>
      <c r="C25" s="4">
        <v>0.82848316431045532</v>
      </c>
    </row>
    <row r="26" spans="1:3" x14ac:dyDescent="0.25">
      <c r="A26" s="5">
        <v>24</v>
      </c>
      <c r="B26" s="6" t="s">
        <v>138</v>
      </c>
      <c r="C26" s="4">
        <v>0.44540929794311523</v>
      </c>
    </row>
    <row r="27" spans="1:3" x14ac:dyDescent="0.25">
      <c r="A27" s="5">
        <v>25</v>
      </c>
      <c r="B27" s="6" t="s">
        <v>145</v>
      </c>
      <c r="C27" s="4">
        <v>0.516002357006073</v>
      </c>
    </row>
    <row r="28" spans="1:3" x14ac:dyDescent="0.25">
      <c r="A28" s="5">
        <v>26</v>
      </c>
      <c r="B28" s="6" t="s">
        <v>139</v>
      </c>
      <c r="C28" s="4">
        <v>0.92739212512969971</v>
      </c>
    </row>
    <row r="29" spans="1:3" x14ac:dyDescent="0.25">
      <c r="A29" s="5">
        <v>27</v>
      </c>
      <c r="B29" s="6" t="s">
        <v>142</v>
      </c>
      <c r="C29" s="4">
        <v>3.743058443069458E-2</v>
      </c>
    </row>
    <row r="30" spans="1:3" x14ac:dyDescent="0.25">
      <c r="A30" s="5">
        <v>28</v>
      </c>
      <c r="B30" s="6" t="s">
        <v>141</v>
      </c>
      <c r="C30" s="4">
        <v>0.44173598289489746</v>
      </c>
    </row>
    <row r="31" spans="1:3" x14ac:dyDescent="0.25">
      <c r="A31" s="5">
        <v>29</v>
      </c>
      <c r="B31" s="6" t="s">
        <v>140</v>
      </c>
      <c r="C31" s="4">
        <v>0.38314718008041382</v>
      </c>
    </row>
    <row r="32" spans="1:3" x14ac:dyDescent="0.25">
      <c r="A32" s="5">
        <v>30</v>
      </c>
      <c r="B32" s="6" t="s">
        <v>144</v>
      </c>
      <c r="C32" s="4">
        <v>0.96543824672698975</v>
      </c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4" width="10.875" style="1"/>
    <col min="5" max="26" width="0" style="1" hidden="1" customWidth="1"/>
    <col min="27" max="16384" width="10.875" style="1"/>
  </cols>
  <sheetData>
    <row r="1" spans="1:7" ht="20.25" x14ac:dyDescent="0.3">
      <c r="B1" s="2" t="s">
        <v>2</v>
      </c>
    </row>
    <row r="2" spans="1:7" x14ac:dyDescent="0.25">
      <c r="B2" s="3" t="s">
        <v>1</v>
      </c>
    </row>
    <row r="3" spans="1:7" x14ac:dyDescent="0.25">
      <c r="A3" s="7" t="s">
        <v>3</v>
      </c>
      <c r="E3" s="1">
        <v>1</v>
      </c>
      <c r="F3" s="1">
        <v>2</v>
      </c>
      <c r="G3" s="1">
        <v>3</v>
      </c>
    </row>
    <row r="4" spans="1:7" x14ac:dyDescent="0.25">
      <c r="A4" s="1">
        <v>1</v>
      </c>
      <c r="B4" s="1" t="str">
        <f>VLOOKUP($A4, Equipes!$A$2:$B$32, 2, FALSE)</f>
        <v>PABLO MARTINS(SCCP)</v>
      </c>
      <c r="E4" s="1">
        <v>4</v>
      </c>
      <c r="F4" s="1">
        <v>5</v>
      </c>
      <c r="G4" s="1">
        <v>6</v>
      </c>
    </row>
    <row r="5" spans="1:7" x14ac:dyDescent="0.25">
      <c r="A5" s="1">
        <v>2</v>
      </c>
      <c r="B5" s="1" t="str">
        <f>VLOOKUP($A5, Equipes!$A$2:$B$32, 2, FALSE)</f>
        <v>PROFESSOR(LSJC)</v>
      </c>
    </row>
    <row r="6" spans="1:7" x14ac:dyDescent="0.25">
      <c r="A6" s="1">
        <v>3</v>
      </c>
      <c r="B6" s="1" t="str">
        <f>VLOOKUP($A6, Equipes!$A$2:$B$32, 2, FALSE)</f>
        <v>MICA(MZ)</v>
      </c>
    </row>
    <row r="7" spans="1:7" x14ac:dyDescent="0.25">
      <c r="A7" s="1">
        <v>4</v>
      </c>
      <c r="B7" s="1" t="str">
        <f>VLOOKUP($A7, Equipes!$A$2:$B$32, 2, FALSE)</f>
        <v>RODRIGO MORO(SCCP)</v>
      </c>
    </row>
    <row r="8" spans="1:7" x14ac:dyDescent="0.25">
      <c r="A8" s="1">
        <v>5</v>
      </c>
      <c r="B8" s="1" t="str">
        <f>VLOOKUP($A8, Equipes!$A$2:$B$32, 2, FALSE)</f>
        <v>CRISTIANO JOSÉ(LSJC)</v>
      </c>
    </row>
    <row r="9" spans="1:7" x14ac:dyDescent="0.25">
      <c r="A9" s="1">
        <v>6</v>
      </c>
      <c r="B9" s="1" t="str">
        <f>VLOOKUP($A9, Equipes!$A$2:$B$32, 2, FALSE)</f>
        <v>DIOGO(2004)</v>
      </c>
    </row>
    <row r="11" spans="1:7" x14ac:dyDescent="0.25">
      <c r="A11" s="7" t="s">
        <v>4</v>
      </c>
      <c r="E11" s="1">
        <v>7</v>
      </c>
      <c r="F11" s="1">
        <v>8</v>
      </c>
      <c r="G11" s="1">
        <v>9</v>
      </c>
    </row>
    <row r="12" spans="1:7" x14ac:dyDescent="0.25">
      <c r="A12" s="1">
        <v>7</v>
      </c>
      <c r="B12" s="1" t="str">
        <f>VLOOKUP($A12, Equipes!$A$2:$B$32, 2, FALSE)</f>
        <v>MARCOS WILLOW(SCCP)</v>
      </c>
      <c r="E12" s="1">
        <v>10</v>
      </c>
      <c r="F12" s="1">
        <v>11</v>
      </c>
      <c r="G12" s="1">
        <v>12</v>
      </c>
    </row>
    <row r="13" spans="1:7" x14ac:dyDescent="0.25">
      <c r="A13" s="1">
        <v>8</v>
      </c>
      <c r="B13" s="1" t="str">
        <f>VLOOKUP($A13, Equipes!$A$2:$B$32, 2, FALSE)</f>
        <v>MURA(MZ)</v>
      </c>
    </row>
    <row r="14" spans="1:7" x14ac:dyDescent="0.25">
      <c r="A14" s="1">
        <v>9</v>
      </c>
      <c r="B14" s="1" t="str">
        <f>VLOOKUP($A14, Equipes!$A$2:$B$32, 2, FALSE)</f>
        <v>MARIELCIO(LSJC)</v>
      </c>
    </row>
    <row r="15" spans="1:7" x14ac:dyDescent="0.25">
      <c r="A15" s="1">
        <v>10</v>
      </c>
      <c r="B15" s="1" t="str">
        <f>VLOOKUP($A15, Equipes!$A$2:$B$32, 2, FALSE)</f>
        <v>TERUEL(SCCP)</v>
      </c>
    </row>
    <row r="16" spans="1:7" x14ac:dyDescent="0.25">
      <c r="A16" s="1">
        <v>11</v>
      </c>
      <c r="B16" s="1" t="str">
        <f>VLOOKUP($A16, Equipes!$A$2:$B$32, 2, FALSE)</f>
        <v>LÉO CARIOCA(MZ)</v>
      </c>
    </row>
    <row r="17" spans="1:7" x14ac:dyDescent="0.25">
      <c r="A17" s="1">
        <v>12</v>
      </c>
      <c r="B17" s="1" t="str">
        <f>VLOOKUP($A17, Equipes!$A$2:$B$32, 2, FALSE)</f>
        <v>MARCÃO SILVA(SPFC)</v>
      </c>
    </row>
    <row r="19" spans="1:7" x14ac:dyDescent="0.25">
      <c r="A19" s="7" t="s">
        <v>5</v>
      </c>
      <c r="E19" s="1">
        <v>13</v>
      </c>
      <c r="F19" s="1">
        <v>14</v>
      </c>
      <c r="G19" s="1">
        <v>15</v>
      </c>
    </row>
    <row r="20" spans="1:7" x14ac:dyDescent="0.25">
      <c r="A20" s="1">
        <v>13</v>
      </c>
      <c r="B20" s="1" t="str">
        <f>VLOOKUP($A20, Equipes!$A$2:$B$32, 2, FALSE)</f>
        <v>SALLYS(SCCP)</v>
      </c>
      <c r="E20" s="1">
        <v>16</v>
      </c>
      <c r="F20" s="1">
        <v>17</v>
      </c>
      <c r="G20" s="1">
        <v>18</v>
      </c>
    </row>
    <row r="21" spans="1:7" x14ac:dyDescent="0.25">
      <c r="A21" s="1">
        <v>14</v>
      </c>
      <c r="B21" s="1" t="str">
        <f>VLOOKUP($A21, Equipes!$A$2:$B$32, 2, FALSE)</f>
        <v>ERISMAR(MZ)</v>
      </c>
    </row>
    <row r="22" spans="1:7" x14ac:dyDescent="0.25">
      <c r="A22" s="1">
        <v>15</v>
      </c>
      <c r="B22" s="1" t="str">
        <f>VLOOKUP($A22, Equipes!$A$2:$B$32, 2, FALSE)</f>
        <v>LUIZ MOREIRA(LSJC)</v>
      </c>
    </row>
    <row r="23" spans="1:7" x14ac:dyDescent="0.25">
      <c r="A23" s="1">
        <v>16</v>
      </c>
      <c r="B23" s="1" t="str">
        <f>VLOOKUP($A23, Equipes!$A$2:$B$32, 2, FALSE)</f>
        <v>VINICIUS ROLIM(SCCP)</v>
      </c>
    </row>
    <row r="24" spans="1:7" x14ac:dyDescent="0.25">
      <c r="A24" s="1">
        <v>17</v>
      </c>
      <c r="B24" s="1" t="str">
        <f>VLOOKUP($A24, Equipes!$A$2:$B$32, 2, FALSE)</f>
        <v>RUAS(2004)</v>
      </c>
    </row>
    <row r="25" spans="1:7" x14ac:dyDescent="0.25">
      <c r="A25" s="1">
        <v>18</v>
      </c>
      <c r="B25" s="1" t="str">
        <f>VLOOKUP($A25, Equipes!$A$2:$B$32, 2, FALSE)</f>
        <v>ELSIO(SPFC)</v>
      </c>
    </row>
    <row r="27" spans="1:7" x14ac:dyDescent="0.25">
      <c r="A27" s="7" t="s">
        <v>6</v>
      </c>
      <c r="E27" s="1">
        <v>19</v>
      </c>
      <c r="F27" s="1">
        <v>20</v>
      </c>
      <c r="G27" s="1">
        <v>21</v>
      </c>
    </row>
    <row r="28" spans="1:7" x14ac:dyDescent="0.25">
      <c r="A28" s="1">
        <v>19</v>
      </c>
      <c r="B28" s="1" t="str">
        <f>VLOOKUP($A28, Equipes!$A$2:$B$32, 2, FALSE)</f>
        <v>REGINALDO(SCCP)</v>
      </c>
      <c r="E28" s="1">
        <v>22</v>
      </c>
      <c r="F28" s="1">
        <v>23</v>
      </c>
      <c r="G28" s="1">
        <v>24</v>
      </c>
    </row>
    <row r="29" spans="1:7" x14ac:dyDescent="0.25">
      <c r="A29" s="1">
        <v>20</v>
      </c>
      <c r="B29" s="1" t="str">
        <f>VLOOKUP($A29, Equipes!$A$2:$B$32, 2, FALSE)</f>
        <v>LUIZ COELHO(MZ)</v>
      </c>
    </row>
    <row r="30" spans="1:7" x14ac:dyDescent="0.25">
      <c r="A30" s="1">
        <v>21</v>
      </c>
      <c r="B30" s="1" t="str">
        <f>VLOOKUP($A30, Equipes!$A$2:$B$32, 2, FALSE)</f>
        <v>TUPINAMBÁ(LSJC)</v>
      </c>
    </row>
    <row r="31" spans="1:7" x14ac:dyDescent="0.25">
      <c r="A31" s="1">
        <v>22</v>
      </c>
      <c r="B31" s="1" t="str">
        <f>VLOOKUP($A31, Equipes!$A$2:$B$32, 2, FALSE)</f>
        <v>GALDEANO(SCCP)</v>
      </c>
    </row>
    <row r="32" spans="1:7" x14ac:dyDescent="0.25">
      <c r="A32" s="1">
        <v>23</v>
      </c>
      <c r="B32" s="1" t="str">
        <f>VLOOKUP($A32, Equipes!$A$2:$B$32, 2, FALSE)</f>
        <v>PEPE 2004(2004)</v>
      </c>
    </row>
    <row r="33" spans="1:7" x14ac:dyDescent="0.25">
      <c r="A33" s="1">
        <v>24</v>
      </c>
      <c r="B33" s="1" t="str">
        <f>VLOOKUP($A33, Equipes!$A$2:$B$32, 2, FALSE)</f>
        <v>ZÉ LUIZ(SPFC)</v>
      </c>
    </row>
    <row r="35" spans="1:7" x14ac:dyDescent="0.25">
      <c r="A35" s="7" t="s">
        <v>7</v>
      </c>
      <c r="E35" s="1">
        <v>25</v>
      </c>
      <c r="F35" s="1">
        <v>26</v>
      </c>
      <c r="G35" s="1">
        <v>27</v>
      </c>
    </row>
    <row r="36" spans="1:7" x14ac:dyDescent="0.25">
      <c r="A36" s="1">
        <v>25</v>
      </c>
      <c r="B36" s="1" t="str">
        <f>VLOOKUP($A36, Equipes!$A$2:$B$32, 2, FALSE)</f>
        <v>ANDRÉ COELHO(SCCP)</v>
      </c>
      <c r="E36" s="1">
        <v>28</v>
      </c>
      <c r="F36" s="1">
        <v>29</v>
      </c>
      <c r="G36" s="1">
        <v>30</v>
      </c>
    </row>
    <row r="37" spans="1:7" x14ac:dyDescent="0.25">
      <c r="A37" s="1">
        <v>26</v>
      </c>
      <c r="B37" s="1" t="str">
        <f>VLOOKUP($A37, Equipes!$A$2:$B$32, 2, FALSE)</f>
        <v>RAFAEL BALIEIRO(LSJC)</v>
      </c>
    </row>
    <row r="38" spans="1:7" x14ac:dyDescent="0.25">
      <c r="A38" s="1">
        <v>27</v>
      </c>
      <c r="B38" s="1" t="str">
        <f>VLOOKUP($A38, Equipes!$A$2:$B$32, 2, FALSE)</f>
        <v>JEFFERSON TABAJARA(2004)</v>
      </c>
    </row>
    <row r="39" spans="1:7" x14ac:dyDescent="0.25">
      <c r="A39" s="1">
        <v>28</v>
      </c>
      <c r="B39" s="1" t="str">
        <f>VLOOKUP($A39, Equipes!$A$2:$B$32, 2, FALSE)</f>
        <v>CORTEZ (MZ)</v>
      </c>
    </row>
    <row r="40" spans="1:7" x14ac:dyDescent="0.25">
      <c r="A40" s="1">
        <v>29</v>
      </c>
      <c r="B40" s="1" t="str">
        <f>VLOOKUP($A40, Equipes!$A$2:$B$32, 2, FALSE)</f>
        <v>DJ IURY(LSJC)</v>
      </c>
    </row>
    <row r="41" spans="1:7" x14ac:dyDescent="0.25">
      <c r="A41" s="1">
        <v>30</v>
      </c>
      <c r="B41" s="1" t="str">
        <f>VLOOKUP($A41, Equipes!$A$2:$B$32, 2, FALSE)</f>
        <v>NORBERTO(7/9)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showGridLines="0" topLeftCell="B1" zoomScale="89" workbookViewId="0">
      <pane ySplit="2" topLeftCell="A60" activePane="bottomLeft" state="frozen"/>
      <selection activeCell="B1" sqref="B1"/>
      <selection pane="bottomLeft" activeCell="C82" sqref="C82"/>
    </sheetView>
  </sheetViews>
  <sheetFormatPr defaultColWidth="10.875" defaultRowHeight="15.75" x14ac:dyDescent="0.25"/>
  <cols>
    <col min="1" max="1" width="2.875" style="8" hidden="1" customWidth="1"/>
    <col min="2" max="2" width="40.875" style="9" customWidth="1"/>
    <col min="3" max="5" width="4.875" style="10" customWidth="1"/>
    <col min="6" max="6" width="40.875" style="11" customWidth="1"/>
    <col min="7" max="7" width="2.875" style="8" hidden="1" customWidth="1"/>
    <col min="8" max="10" width="8.875" style="9" customWidth="1"/>
    <col min="11" max="11" width="10.875" style="9"/>
    <col min="12" max="12" width="10.875" style="1"/>
    <col min="13" max="23" width="5.875" style="9" hidden="1" customWidth="1"/>
    <col min="24" max="16384" width="10.875" style="1"/>
  </cols>
  <sheetData>
    <row r="1" spans="1:23" ht="20.25" x14ac:dyDescent="0.3">
      <c r="B1" s="2" t="s">
        <v>8</v>
      </c>
      <c r="M1" s="9" t="s">
        <v>9</v>
      </c>
    </row>
    <row r="2" spans="1:23" x14ac:dyDescent="0.25">
      <c r="B2" s="3" t="s">
        <v>1</v>
      </c>
      <c r="M2" s="9">
        <v>75</v>
      </c>
    </row>
    <row r="3" spans="1:23" x14ac:dyDescent="0.25">
      <c r="B3" s="13" t="s">
        <v>10</v>
      </c>
      <c r="C3" s="14"/>
      <c r="D3" s="14"/>
      <c r="E3" s="14"/>
      <c r="F3" s="15"/>
      <c r="G3" s="16"/>
      <c r="H3" s="13" t="s">
        <v>11</v>
      </c>
      <c r="I3" s="13" t="s">
        <v>12</v>
      </c>
      <c r="J3" s="13" t="s">
        <v>13</v>
      </c>
      <c r="K3" s="17">
        <v>44969.479166666664</v>
      </c>
      <c r="M3" s="12" t="s">
        <v>14</v>
      </c>
      <c r="N3" s="12" t="s">
        <v>14</v>
      </c>
      <c r="O3" s="12" t="s">
        <v>15</v>
      </c>
      <c r="P3" s="12" t="s">
        <v>16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15</v>
      </c>
      <c r="V3" s="12" t="s">
        <v>20</v>
      </c>
      <c r="W3" s="12" t="s">
        <v>21</v>
      </c>
    </row>
    <row r="4" spans="1:23" x14ac:dyDescent="0.25">
      <c r="A4" s="8">
        <v>1</v>
      </c>
      <c r="B4" s="9" t="str">
        <f>VLOOKUP($A4, Equipes!$A$3:$B$32, 2, FALSE)</f>
        <v>PABLO MARTINS(SCCP)</v>
      </c>
      <c r="C4" s="18">
        <v>1</v>
      </c>
      <c r="D4" s="10" t="s">
        <v>22</v>
      </c>
      <c r="E4" s="18">
        <v>0</v>
      </c>
      <c r="F4" s="11" t="str">
        <f>VLOOKUP($G4, Equipes!$A$3:$B$32, 2, FALSE)</f>
        <v>RODRIGO MORO(SCCP)</v>
      </c>
      <c r="G4" s="8">
        <v>4</v>
      </c>
      <c r="H4" s="9">
        <v>1</v>
      </c>
      <c r="I4" s="9" t="s">
        <v>23</v>
      </c>
      <c r="J4" s="9">
        <v>1</v>
      </c>
      <c r="M4" s="9" t="str">
        <f t="shared" ref="M4:M18" si="0">IF(OR(C4 = "",E4 = ""), "", B4)</f>
        <v>PABLO MARTINS(SCCP)</v>
      </c>
      <c r="N4" s="9" t="str">
        <f t="shared" ref="N4:N18" si="1">IF(OR(C4 = "",E4 = ""), "", F4)</f>
        <v>RODRIGO MORO(SCCP)</v>
      </c>
      <c r="O4" s="9" t="str">
        <f t="shared" ref="O4:O18" si="2">IF(C4&gt;E4,B4, IF(E4&gt;C4,F4, ""))</f>
        <v>PABLO MARTINS(SCCP)</v>
      </c>
      <c r="P4" s="9" t="str">
        <f t="shared" ref="P4:P18" si="3">IF(OR(C4 = "",E4 = ""), "", IF(C4=E4,B4, ""))</f>
        <v/>
      </c>
      <c r="Q4" s="9" t="str">
        <f t="shared" ref="Q4:Q18" si="4">IF(OR(C4 = "",E4 = ""), "", IF(C4=E4,F4, ""))</f>
        <v/>
      </c>
      <c r="R4" s="9" t="str">
        <f t="shared" ref="R4:R18" si="5">IF(C4&gt;E4,F4, IF(E4&gt;C4,B4, ""))</f>
        <v>RODRIGO MORO(SCCP)</v>
      </c>
      <c r="S4" s="9" t="str">
        <f t="shared" ref="S4:S18" si="6">IF(OR(C4 = "",E4 = ""), "", B4)</f>
        <v>PABLO MARTINS(SCCP)</v>
      </c>
      <c r="T4" s="9">
        <f t="shared" ref="T4:T18" si="7">IF(C4 = "", "", C4)</f>
        <v>1</v>
      </c>
      <c r="U4" s="9" t="str">
        <f t="shared" ref="U4:U18" si="8">IF(OR(C4 = "",E4 = ""), "", F4)</f>
        <v>RODRIGO MORO(SCCP)</v>
      </c>
      <c r="V4" s="9">
        <f t="shared" ref="V4:V18" si="9">IF(E4 = "", "", E4)</f>
        <v>0</v>
      </c>
      <c r="W4" s="9">
        <f t="shared" ref="W4:W18" si="10">IF(C4 = "", "", C4)</f>
        <v>1</v>
      </c>
    </row>
    <row r="5" spans="1:23" x14ac:dyDescent="0.25">
      <c r="A5" s="8">
        <v>2</v>
      </c>
      <c r="B5" s="19" t="str">
        <f>VLOOKUP($A5, Equipes!$A$3:$B$32, 2, FALSE)</f>
        <v>PROFESSOR(LSJC)</v>
      </c>
      <c r="C5" s="18">
        <v>1</v>
      </c>
      <c r="D5" s="20" t="s">
        <v>22</v>
      </c>
      <c r="E5" s="18">
        <v>1</v>
      </c>
      <c r="F5" s="21" t="str">
        <f>VLOOKUP($G5, Equipes!$A$3:$B$32, 2, FALSE)</f>
        <v>CRISTIANO JOSÉ(LSJC)</v>
      </c>
      <c r="G5" s="22">
        <v>5</v>
      </c>
      <c r="H5" s="19">
        <v>4</v>
      </c>
      <c r="I5" s="19" t="s">
        <v>23</v>
      </c>
      <c r="J5" s="19">
        <v>1</v>
      </c>
      <c r="K5" s="19"/>
      <c r="M5" s="9" t="str">
        <f t="shared" si="0"/>
        <v>PROFESSOR(LSJC)</v>
      </c>
      <c r="N5" s="9" t="str">
        <f t="shared" si="1"/>
        <v>CRISTIANO JOSÉ(LSJC)</v>
      </c>
      <c r="O5" s="9" t="str">
        <f t="shared" si="2"/>
        <v/>
      </c>
      <c r="P5" s="9" t="str">
        <f t="shared" si="3"/>
        <v>PROFESSOR(LSJC)</v>
      </c>
      <c r="Q5" s="9" t="str">
        <f t="shared" si="4"/>
        <v>CRISTIANO JOSÉ(LSJC)</v>
      </c>
      <c r="R5" s="9" t="str">
        <f t="shared" si="5"/>
        <v/>
      </c>
      <c r="S5" s="9" t="str">
        <f t="shared" si="6"/>
        <v>PROFESSOR(LSJC)</v>
      </c>
      <c r="T5" s="9">
        <f t="shared" si="7"/>
        <v>1</v>
      </c>
      <c r="U5" s="9" t="str">
        <f t="shared" si="8"/>
        <v>CRISTIANO JOSÉ(LSJC)</v>
      </c>
      <c r="V5" s="9">
        <f t="shared" si="9"/>
        <v>1</v>
      </c>
      <c r="W5" s="9">
        <f t="shared" si="10"/>
        <v>1</v>
      </c>
    </row>
    <row r="6" spans="1:23" x14ac:dyDescent="0.25">
      <c r="A6" s="8">
        <v>3</v>
      </c>
      <c r="B6" s="9" t="str">
        <f>VLOOKUP($A6, Equipes!$A$3:$B$32, 2, FALSE)</f>
        <v>MICA(MZ)</v>
      </c>
      <c r="C6" s="18">
        <v>0</v>
      </c>
      <c r="D6" s="10" t="s">
        <v>22</v>
      </c>
      <c r="E6" s="18">
        <v>2</v>
      </c>
      <c r="F6" s="11" t="str">
        <f>VLOOKUP($G6, Equipes!$A$3:$B$32, 2, FALSE)</f>
        <v>DIOGO(2004)</v>
      </c>
      <c r="G6" s="8">
        <v>6</v>
      </c>
      <c r="H6" s="9">
        <v>5</v>
      </c>
      <c r="I6" s="9" t="s">
        <v>23</v>
      </c>
      <c r="J6" s="9">
        <v>1</v>
      </c>
      <c r="M6" s="9" t="str">
        <f t="shared" si="0"/>
        <v>MICA(MZ)</v>
      </c>
      <c r="N6" s="9" t="str">
        <f t="shared" si="1"/>
        <v>DIOGO(2004)</v>
      </c>
      <c r="O6" s="9" t="str">
        <f t="shared" si="2"/>
        <v>DIOGO(2004)</v>
      </c>
      <c r="P6" s="9" t="str">
        <f t="shared" si="3"/>
        <v/>
      </c>
      <c r="Q6" s="9" t="str">
        <f t="shared" si="4"/>
        <v/>
      </c>
      <c r="R6" s="9" t="str">
        <f t="shared" si="5"/>
        <v>MICA(MZ)</v>
      </c>
      <c r="S6" s="9" t="str">
        <f t="shared" si="6"/>
        <v>MICA(MZ)</v>
      </c>
      <c r="T6" s="9">
        <f t="shared" si="7"/>
        <v>0</v>
      </c>
      <c r="U6" s="9" t="str">
        <f t="shared" si="8"/>
        <v>DIOGO(2004)</v>
      </c>
      <c r="V6" s="9">
        <f t="shared" si="9"/>
        <v>2</v>
      </c>
      <c r="W6" s="9">
        <f t="shared" si="10"/>
        <v>0</v>
      </c>
    </row>
    <row r="7" spans="1:23" x14ac:dyDescent="0.25">
      <c r="A7" s="8">
        <v>7</v>
      </c>
      <c r="B7" s="19" t="str">
        <f>VLOOKUP($A7, Equipes!$A$3:$B$32, 2, FALSE)</f>
        <v>MARCOS WILLOW(SCCP)</v>
      </c>
      <c r="C7" s="18">
        <v>4</v>
      </c>
      <c r="D7" s="20" t="s">
        <v>22</v>
      </c>
      <c r="E7" s="18">
        <v>0</v>
      </c>
      <c r="F7" s="21" t="str">
        <f>VLOOKUP($G7, Equipes!$A$3:$B$32, 2, FALSE)</f>
        <v>TERUEL(SCCP)</v>
      </c>
      <c r="G7" s="22">
        <v>10</v>
      </c>
      <c r="H7" s="19">
        <v>8</v>
      </c>
      <c r="I7" s="19" t="s">
        <v>24</v>
      </c>
      <c r="J7" s="19">
        <v>1</v>
      </c>
      <c r="K7" s="19"/>
      <c r="M7" s="9" t="str">
        <f t="shared" si="0"/>
        <v>MARCOS WILLOW(SCCP)</v>
      </c>
      <c r="N7" s="9" t="str">
        <f t="shared" si="1"/>
        <v>TERUEL(SCCP)</v>
      </c>
      <c r="O7" s="9" t="str">
        <f t="shared" si="2"/>
        <v>MARCOS WILLOW(SCCP)</v>
      </c>
      <c r="P7" s="9" t="str">
        <f t="shared" si="3"/>
        <v/>
      </c>
      <c r="Q7" s="9" t="str">
        <f t="shared" si="4"/>
        <v/>
      </c>
      <c r="R7" s="9" t="str">
        <f t="shared" si="5"/>
        <v>TERUEL(SCCP)</v>
      </c>
      <c r="S7" s="9" t="str">
        <f t="shared" si="6"/>
        <v>MARCOS WILLOW(SCCP)</v>
      </c>
      <c r="T7" s="9">
        <f t="shared" si="7"/>
        <v>4</v>
      </c>
      <c r="U7" s="9" t="str">
        <f t="shared" si="8"/>
        <v>TERUEL(SCCP)</v>
      </c>
      <c r="V7" s="9">
        <f t="shared" si="9"/>
        <v>0</v>
      </c>
      <c r="W7" s="9">
        <f t="shared" si="10"/>
        <v>4</v>
      </c>
    </row>
    <row r="8" spans="1:23" x14ac:dyDescent="0.25">
      <c r="A8" s="8">
        <v>8</v>
      </c>
      <c r="B8" s="9" t="str">
        <f>VLOOKUP($A8, Equipes!$A$3:$B$32, 2, FALSE)</f>
        <v>MURA(MZ)</v>
      </c>
      <c r="C8" s="18">
        <v>1</v>
      </c>
      <c r="D8" s="10" t="s">
        <v>22</v>
      </c>
      <c r="E8" s="18">
        <v>2</v>
      </c>
      <c r="F8" s="11" t="str">
        <f>VLOOKUP($G8, Equipes!$A$3:$B$32, 2, FALSE)</f>
        <v>LÉO CARIOCA(MZ)</v>
      </c>
      <c r="G8" s="8">
        <v>11</v>
      </c>
      <c r="H8" s="9">
        <v>16</v>
      </c>
      <c r="I8" s="9" t="s">
        <v>24</v>
      </c>
      <c r="J8" s="9">
        <v>1</v>
      </c>
      <c r="M8" s="9" t="str">
        <f t="shared" si="0"/>
        <v>MURA(MZ)</v>
      </c>
      <c r="N8" s="9" t="str">
        <f t="shared" si="1"/>
        <v>LÉO CARIOCA(MZ)</v>
      </c>
      <c r="O8" s="9" t="str">
        <f t="shared" si="2"/>
        <v>LÉO CARIOCA(MZ)</v>
      </c>
      <c r="P8" s="9" t="str">
        <f t="shared" si="3"/>
        <v/>
      </c>
      <c r="Q8" s="9" t="str">
        <f t="shared" si="4"/>
        <v/>
      </c>
      <c r="R8" s="9" t="str">
        <f t="shared" si="5"/>
        <v>MURA(MZ)</v>
      </c>
      <c r="S8" s="9" t="str">
        <f t="shared" si="6"/>
        <v>MURA(MZ)</v>
      </c>
      <c r="T8" s="9">
        <f t="shared" si="7"/>
        <v>1</v>
      </c>
      <c r="U8" s="9" t="str">
        <f t="shared" si="8"/>
        <v>LÉO CARIOCA(MZ)</v>
      </c>
      <c r="V8" s="9">
        <f t="shared" si="9"/>
        <v>2</v>
      </c>
      <c r="W8" s="9">
        <f t="shared" si="10"/>
        <v>1</v>
      </c>
    </row>
    <row r="9" spans="1:23" x14ac:dyDescent="0.25">
      <c r="A9" s="8">
        <v>9</v>
      </c>
      <c r="B9" s="19" t="str">
        <f>VLOOKUP($A9, Equipes!$A$3:$B$32, 2, FALSE)</f>
        <v>MARIELCIO(LSJC)</v>
      </c>
      <c r="C9" s="18">
        <v>0</v>
      </c>
      <c r="D9" s="20" t="s">
        <v>22</v>
      </c>
      <c r="E9" s="18">
        <v>2</v>
      </c>
      <c r="F9" s="21" t="str">
        <f>VLOOKUP($G9, Equipes!$A$3:$B$32, 2, FALSE)</f>
        <v>MARCÃO SILVA(SPFC)</v>
      </c>
      <c r="G9" s="22">
        <v>12</v>
      </c>
      <c r="H9" s="19">
        <v>12</v>
      </c>
      <c r="I9" s="19" t="s">
        <v>24</v>
      </c>
      <c r="J9" s="19">
        <v>1</v>
      </c>
      <c r="K9" s="19"/>
      <c r="M9" s="9" t="str">
        <f t="shared" si="0"/>
        <v>MARIELCIO(LSJC)</v>
      </c>
      <c r="N9" s="9" t="str">
        <f t="shared" si="1"/>
        <v>MARCÃO SILVA(SPFC)</v>
      </c>
      <c r="O9" s="9" t="str">
        <f t="shared" si="2"/>
        <v>MARCÃO SILVA(SPFC)</v>
      </c>
      <c r="P9" s="9" t="str">
        <f t="shared" si="3"/>
        <v/>
      </c>
      <c r="Q9" s="9" t="str">
        <f t="shared" si="4"/>
        <v/>
      </c>
      <c r="R9" s="9" t="str">
        <f t="shared" si="5"/>
        <v>MARIELCIO(LSJC)</v>
      </c>
      <c r="S9" s="9" t="str">
        <f t="shared" si="6"/>
        <v>MARIELCIO(LSJC)</v>
      </c>
      <c r="T9" s="9">
        <f t="shared" si="7"/>
        <v>0</v>
      </c>
      <c r="U9" s="9" t="str">
        <f t="shared" si="8"/>
        <v>MARCÃO SILVA(SPFC)</v>
      </c>
      <c r="V9" s="9">
        <f t="shared" si="9"/>
        <v>2</v>
      </c>
      <c r="W9" s="9">
        <f t="shared" si="10"/>
        <v>0</v>
      </c>
    </row>
    <row r="10" spans="1:23" x14ac:dyDescent="0.25">
      <c r="A10" s="8">
        <v>13</v>
      </c>
      <c r="B10" s="9" t="str">
        <f>VLOOKUP($A10, Equipes!$A$3:$B$32, 2, FALSE)</f>
        <v>SALLYS(SCCP)</v>
      </c>
      <c r="C10" s="18">
        <v>2</v>
      </c>
      <c r="D10" s="10" t="s">
        <v>22</v>
      </c>
      <c r="E10" s="18">
        <v>6</v>
      </c>
      <c r="F10" s="11" t="str">
        <f>VLOOKUP($G10, Equipes!$A$3:$B$32, 2, FALSE)</f>
        <v>VINICIUS ROLIM(SCCP)</v>
      </c>
      <c r="G10" s="8">
        <v>16</v>
      </c>
      <c r="H10" s="9">
        <v>3</v>
      </c>
      <c r="I10" s="9" t="s">
        <v>25</v>
      </c>
      <c r="J10" s="9">
        <v>1</v>
      </c>
      <c r="M10" s="9" t="str">
        <f t="shared" si="0"/>
        <v>SALLYS(SCCP)</v>
      </c>
      <c r="N10" s="9" t="str">
        <f t="shared" si="1"/>
        <v>VINICIUS ROLIM(SCCP)</v>
      </c>
      <c r="O10" s="9" t="str">
        <f t="shared" si="2"/>
        <v>VINICIUS ROLIM(SCCP)</v>
      </c>
      <c r="P10" s="9" t="str">
        <f t="shared" si="3"/>
        <v/>
      </c>
      <c r="Q10" s="9" t="str">
        <f t="shared" si="4"/>
        <v/>
      </c>
      <c r="R10" s="9" t="str">
        <f t="shared" si="5"/>
        <v>SALLYS(SCCP)</v>
      </c>
      <c r="S10" s="9" t="str">
        <f t="shared" si="6"/>
        <v>SALLYS(SCCP)</v>
      </c>
      <c r="T10" s="9">
        <f t="shared" si="7"/>
        <v>2</v>
      </c>
      <c r="U10" s="9" t="str">
        <f t="shared" si="8"/>
        <v>VINICIUS ROLIM(SCCP)</v>
      </c>
      <c r="V10" s="9">
        <f t="shared" si="9"/>
        <v>6</v>
      </c>
      <c r="W10" s="9">
        <f t="shared" si="10"/>
        <v>2</v>
      </c>
    </row>
    <row r="11" spans="1:23" x14ac:dyDescent="0.25">
      <c r="A11" s="8">
        <v>14</v>
      </c>
      <c r="B11" s="19" t="str">
        <f>VLOOKUP($A11, Equipes!$A$3:$B$32, 2, FALSE)</f>
        <v>ERISMAR(MZ)</v>
      </c>
      <c r="C11" s="18">
        <v>0</v>
      </c>
      <c r="D11" s="20" t="s">
        <v>22</v>
      </c>
      <c r="E11" s="18">
        <v>0</v>
      </c>
      <c r="F11" s="21" t="str">
        <f>VLOOKUP($G11, Equipes!$A$3:$B$32, 2, FALSE)</f>
        <v>RUAS(2004)</v>
      </c>
      <c r="G11" s="22">
        <v>17</v>
      </c>
      <c r="H11" s="19">
        <v>15</v>
      </c>
      <c r="I11" s="19" t="s">
        <v>25</v>
      </c>
      <c r="J11" s="19">
        <v>1</v>
      </c>
      <c r="K11" s="19"/>
      <c r="M11" s="9" t="str">
        <f t="shared" si="0"/>
        <v>ERISMAR(MZ)</v>
      </c>
      <c r="N11" s="9" t="str">
        <f t="shared" si="1"/>
        <v>RUAS(2004)</v>
      </c>
      <c r="O11" s="9" t="str">
        <f t="shared" si="2"/>
        <v/>
      </c>
      <c r="P11" s="9" t="str">
        <f t="shared" si="3"/>
        <v>ERISMAR(MZ)</v>
      </c>
      <c r="Q11" s="9" t="str">
        <f t="shared" si="4"/>
        <v>RUAS(2004)</v>
      </c>
      <c r="R11" s="9" t="str">
        <f t="shared" si="5"/>
        <v/>
      </c>
      <c r="S11" s="9" t="str">
        <f t="shared" si="6"/>
        <v>ERISMAR(MZ)</v>
      </c>
      <c r="T11" s="9">
        <f t="shared" si="7"/>
        <v>0</v>
      </c>
      <c r="U11" s="9" t="str">
        <f t="shared" si="8"/>
        <v>RUAS(2004)</v>
      </c>
      <c r="V11" s="9">
        <f t="shared" si="9"/>
        <v>0</v>
      </c>
      <c r="W11" s="9">
        <f t="shared" si="10"/>
        <v>0</v>
      </c>
    </row>
    <row r="12" spans="1:23" x14ac:dyDescent="0.25">
      <c r="A12" s="8">
        <v>15</v>
      </c>
      <c r="B12" s="9" t="str">
        <f>VLOOKUP($A12, Equipes!$A$3:$B$32, 2, FALSE)</f>
        <v>LUIZ MOREIRA(LSJC)</v>
      </c>
      <c r="C12" s="18">
        <v>2</v>
      </c>
      <c r="D12" s="10" t="s">
        <v>22</v>
      </c>
      <c r="E12" s="18">
        <v>4</v>
      </c>
      <c r="F12" s="11" t="str">
        <f>VLOOKUP($G12, Equipes!$A$3:$B$32, 2, FALSE)</f>
        <v>ELSIO(SPFC)</v>
      </c>
      <c r="G12" s="8">
        <v>18</v>
      </c>
      <c r="H12" s="9">
        <v>10</v>
      </c>
      <c r="I12" s="9" t="s">
        <v>25</v>
      </c>
      <c r="J12" s="9">
        <v>1</v>
      </c>
      <c r="M12" s="9" t="str">
        <f t="shared" si="0"/>
        <v>LUIZ MOREIRA(LSJC)</v>
      </c>
      <c r="N12" s="9" t="str">
        <f t="shared" si="1"/>
        <v>ELSIO(SPFC)</v>
      </c>
      <c r="O12" s="9" t="str">
        <f t="shared" si="2"/>
        <v>ELSIO(SPFC)</v>
      </c>
      <c r="P12" s="9" t="str">
        <f t="shared" si="3"/>
        <v/>
      </c>
      <c r="Q12" s="9" t="str">
        <f t="shared" si="4"/>
        <v/>
      </c>
      <c r="R12" s="9" t="str">
        <f t="shared" si="5"/>
        <v>LUIZ MOREIRA(LSJC)</v>
      </c>
      <c r="S12" s="9" t="str">
        <f t="shared" si="6"/>
        <v>LUIZ MOREIRA(LSJC)</v>
      </c>
      <c r="T12" s="9">
        <f t="shared" si="7"/>
        <v>2</v>
      </c>
      <c r="U12" s="9" t="str">
        <f t="shared" si="8"/>
        <v>ELSIO(SPFC)</v>
      </c>
      <c r="V12" s="9">
        <f t="shared" si="9"/>
        <v>4</v>
      </c>
      <c r="W12" s="9">
        <f t="shared" si="10"/>
        <v>2</v>
      </c>
    </row>
    <row r="13" spans="1:23" x14ac:dyDescent="0.25">
      <c r="A13" s="8">
        <v>19</v>
      </c>
      <c r="B13" s="19" t="str">
        <f>VLOOKUP($A13, Equipes!$A$3:$B$32, 2, FALSE)</f>
        <v>REGINALDO(SCCP)</v>
      </c>
      <c r="C13" s="18">
        <v>1</v>
      </c>
      <c r="D13" s="20" t="s">
        <v>22</v>
      </c>
      <c r="E13" s="18">
        <v>1</v>
      </c>
      <c r="F13" s="21" t="str">
        <f>VLOOKUP($G13, Equipes!$A$3:$B$32, 2, FALSE)</f>
        <v>GALDEANO(SCCP)</v>
      </c>
      <c r="G13" s="22">
        <v>22</v>
      </c>
      <c r="H13" s="19">
        <v>7</v>
      </c>
      <c r="I13" s="19" t="s">
        <v>17</v>
      </c>
      <c r="J13" s="19">
        <v>1</v>
      </c>
      <c r="K13" s="19"/>
      <c r="M13" s="9" t="str">
        <f t="shared" si="0"/>
        <v>REGINALDO(SCCP)</v>
      </c>
      <c r="N13" s="9" t="str">
        <f t="shared" si="1"/>
        <v>GALDEANO(SCCP)</v>
      </c>
      <c r="O13" s="9" t="str">
        <f t="shared" si="2"/>
        <v/>
      </c>
      <c r="P13" s="9" t="str">
        <f t="shared" si="3"/>
        <v>REGINALDO(SCCP)</v>
      </c>
      <c r="Q13" s="9" t="str">
        <f t="shared" si="4"/>
        <v>GALDEANO(SCCP)</v>
      </c>
      <c r="R13" s="9" t="str">
        <f t="shared" si="5"/>
        <v/>
      </c>
      <c r="S13" s="9" t="str">
        <f t="shared" si="6"/>
        <v>REGINALDO(SCCP)</v>
      </c>
      <c r="T13" s="9">
        <f t="shared" si="7"/>
        <v>1</v>
      </c>
      <c r="U13" s="9" t="str">
        <f t="shared" si="8"/>
        <v>GALDEANO(SCCP)</v>
      </c>
      <c r="V13" s="9">
        <f t="shared" si="9"/>
        <v>1</v>
      </c>
      <c r="W13" s="9">
        <f t="shared" si="10"/>
        <v>1</v>
      </c>
    </row>
    <row r="14" spans="1:23" x14ac:dyDescent="0.25">
      <c r="A14" s="8">
        <v>20</v>
      </c>
      <c r="B14" s="9" t="str">
        <f>VLOOKUP($A14, Equipes!$A$3:$B$32, 2, FALSE)</f>
        <v>LUIZ COELHO(MZ)</v>
      </c>
      <c r="C14" s="18">
        <v>2</v>
      </c>
      <c r="D14" s="10" t="s">
        <v>22</v>
      </c>
      <c r="E14" s="18">
        <v>0</v>
      </c>
      <c r="F14" s="11" t="str">
        <f>VLOOKUP($G14, Equipes!$A$3:$B$32, 2, FALSE)</f>
        <v>PEPE 2004(2004)</v>
      </c>
      <c r="G14" s="8">
        <v>23</v>
      </c>
      <c r="H14" s="9">
        <v>2</v>
      </c>
      <c r="I14" s="9" t="s">
        <v>17</v>
      </c>
      <c r="J14" s="9">
        <v>1</v>
      </c>
      <c r="M14" s="9" t="str">
        <f t="shared" si="0"/>
        <v>LUIZ COELHO(MZ)</v>
      </c>
      <c r="N14" s="9" t="str">
        <f t="shared" si="1"/>
        <v>PEPE 2004(2004)</v>
      </c>
      <c r="O14" s="9" t="str">
        <f t="shared" si="2"/>
        <v>LUIZ COELHO(MZ)</v>
      </c>
      <c r="P14" s="9" t="str">
        <f t="shared" si="3"/>
        <v/>
      </c>
      <c r="Q14" s="9" t="str">
        <f t="shared" si="4"/>
        <v/>
      </c>
      <c r="R14" s="9" t="str">
        <f t="shared" si="5"/>
        <v>PEPE 2004(2004)</v>
      </c>
      <c r="S14" s="9" t="str">
        <f t="shared" si="6"/>
        <v>LUIZ COELHO(MZ)</v>
      </c>
      <c r="T14" s="9">
        <f t="shared" si="7"/>
        <v>2</v>
      </c>
      <c r="U14" s="9" t="str">
        <f t="shared" si="8"/>
        <v>PEPE 2004(2004)</v>
      </c>
      <c r="V14" s="9">
        <f t="shared" si="9"/>
        <v>0</v>
      </c>
      <c r="W14" s="9">
        <f t="shared" si="10"/>
        <v>2</v>
      </c>
    </row>
    <row r="15" spans="1:23" x14ac:dyDescent="0.25">
      <c r="A15" s="8">
        <v>21</v>
      </c>
      <c r="B15" s="19" t="str">
        <f>VLOOKUP($A15, Equipes!$A$3:$B$32, 2, FALSE)</f>
        <v>TUPINAMBÁ(LSJC)</v>
      </c>
      <c r="C15" s="18">
        <v>1</v>
      </c>
      <c r="D15" s="20" t="s">
        <v>22</v>
      </c>
      <c r="E15" s="18">
        <v>0</v>
      </c>
      <c r="F15" s="21" t="str">
        <f>VLOOKUP($G15, Equipes!$A$3:$B$32, 2, FALSE)</f>
        <v>ZÉ LUIZ(SPFC)</v>
      </c>
      <c r="G15" s="22">
        <v>24</v>
      </c>
      <c r="H15" s="19">
        <v>13</v>
      </c>
      <c r="I15" s="19" t="s">
        <v>17</v>
      </c>
      <c r="J15" s="19">
        <v>1</v>
      </c>
      <c r="K15" s="19"/>
      <c r="M15" s="9" t="str">
        <f t="shared" si="0"/>
        <v>TUPINAMBÁ(LSJC)</v>
      </c>
      <c r="N15" s="9" t="str">
        <f t="shared" si="1"/>
        <v>ZÉ LUIZ(SPFC)</v>
      </c>
      <c r="O15" s="9" t="str">
        <f t="shared" si="2"/>
        <v>TUPINAMBÁ(LSJC)</v>
      </c>
      <c r="P15" s="9" t="str">
        <f t="shared" si="3"/>
        <v/>
      </c>
      <c r="Q15" s="9" t="str">
        <f t="shared" si="4"/>
        <v/>
      </c>
      <c r="R15" s="9" t="str">
        <f t="shared" si="5"/>
        <v>ZÉ LUIZ(SPFC)</v>
      </c>
      <c r="S15" s="9" t="str">
        <f t="shared" si="6"/>
        <v>TUPINAMBÁ(LSJC)</v>
      </c>
      <c r="T15" s="9">
        <f t="shared" si="7"/>
        <v>1</v>
      </c>
      <c r="U15" s="9" t="str">
        <f t="shared" si="8"/>
        <v>ZÉ LUIZ(SPFC)</v>
      </c>
      <c r="V15" s="9">
        <f t="shared" si="9"/>
        <v>0</v>
      </c>
      <c r="W15" s="9">
        <f t="shared" si="10"/>
        <v>1</v>
      </c>
    </row>
    <row r="16" spans="1:23" x14ac:dyDescent="0.25">
      <c r="A16" s="8">
        <v>25</v>
      </c>
      <c r="B16" s="9" t="str">
        <f>VLOOKUP($A16, Equipes!$A$3:$B$32, 2, FALSE)</f>
        <v>ANDRÉ COELHO(SCCP)</v>
      </c>
      <c r="C16" s="18">
        <v>0</v>
      </c>
      <c r="D16" s="10" t="s">
        <v>22</v>
      </c>
      <c r="E16" s="18">
        <v>2</v>
      </c>
      <c r="F16" s="11" t="str">
        <f>VLOOKUP($G16, Equipes!$A$3:$B$32, 2, FALSE)</f>
        <v>CORTEZ (MZ)</v>
      </c>
      <c r="G16" s="8">
        <v>28</v>
      </c>
      <c r="H16" s="9">
        <v>9</v>
      </c>
      <c r="I16" s="9" t="s">
        <v>16</v>
      </c>
      <c r="J16" s="9">
        <v>1</v>
      </c>
      <c r="M16" s="9" t="str">
        <f t="shared" si="0"/>
        <v>ANDRÉ COELHO(SCCP)</v>
      </c>
      <c r="N16" s="9" t="str">
        <f t="shared" si="1"/>
        <v>CORTEZ (MZ)</v>
      </c>
      <c r="O16" s="9" t="str">
        <f t="shared" si="2"/>
        <v>CORTEZ (MZ)</v>
      </c>
      <c r="P16" s="9" t="str">
        <f t="shared" si="3"/>
        <v/>
      </c>
      <c r="Q16" s="9" t="str">
        <f t="shared" si="4"/>
        <v/>
      </c>
      <c r="R16" s="9" t="str">
        <f t="shared" si="5"/>
        <v>ANDRÉ COELHO(SCCP)</v>
      </c>
      <c r="S16" s="9" t="str">
        <f t="shared" si="6"/>
        <v>ANDRÉ COELHO(SCCP)</v>
      </c>
      <c r="T16" s="9">
        <f t="shared" si="7"/>
        <v>0</v>
      </c>
      <c r="U16" s="9" t="str">
        <f t="shared" si="8"/>
        <v>CORTEZ (MZ)</v>
      </c>
      <c r="V16" s="9">
        <f t="shared" si="9"/>
        <v>2</v>
      </c>
      <c r="W16" s="9">
        <f t="shared" si="10"/>
        <v>0</v>
      </c>
    </row>
    <row r="17" spans="1:23" x14ac:dyDescent="0.25">
      <c r="A17" s="8">
        <v>26</v>
      </c>
      <c r="B17" s="19" t="str">
        <f>VLOOKUP($A17, Equipes!$A$3:$B$32, 2, FALSE)</f>
        <v>RAFAEL BALIEIRO(LSJC)</v>
      </c>
      <c r="C17" s="18">
        <v>2</v>
      </c>
      <c r="D17" s="20" t="s">
        <v>22</v>
      </c>
      <c r="E17" s="18">
        <v>1</v>
      </c>
      <c r="F17" s="21" t="str">
        <f>VLOOKUP($G17, Equipes!$A$3:$B$32, 2, FALSE)</f>
        <v>DJ IURY(LSJC)</v>
      </c>
      <c r="G17" s="22">
        <v>29</v>
      </c>
      <c r="H17" s="19">
        <v>11</v>
      </c>
      <c r="I17" s="19" t="s">
        <v>16</v>
      </c>
      <c r="J17" s="19">
        <v>1</v>
      </c>
      <c r="K17" s="19"/>
      <c r="M17" s="9" t="str">
        <f t="shared" si="0"/>
        <v>RAFAEL BALIEIRO(LSJC)</v>
      </c>
      <c r="N17" s="9" t="str">
        <f t="shared" si="1"/>
        <v>DJ IURY(LSJC)</v>
      </c>
      <c r="O17" s="9" t="str">
        <f t="shared" si="2"/>
        <v>RAFAEL BALIEIRO(LSJC)</v>
      </c>
      <c r="P17" s="9" t="str">
        <f t="shared" si="3"/>
        <v/>
      </c>
      <c r="Q17" s="9" t="str">
        <f t="shared" si="4"/>
        <v/>
      </c>
      <c r="R17" s="9" t="str">
        <f t="shared" si="5"/>
        <v>DJ IURY(LSJC)</v>
      </c>
      <c r="S17" s="9" t="str">
        <f t="shared" si="6"/>
        <v>RAFAEL BALIEIRO(LSJC)</v>
      </c>
      <c r="T17" s="9">
        <f t="shared" si="7"/>
        <v>2</v>
      </c>
      <c r="U17" s="9" t="str">
        <f t="shared" si="8"/>
        <v>DJ IURY(LSJC)</v>
      </c>
      <c r="V17" s="9">
        <f t="shared" si="9"/>
        <v>1</v>
      </c>
      <c r="W17" s="9">
        <f t="shared" si="10"/>
        <v>2</v>
      </c>
    </row>
    <row r="18" spans="1:23" x14ac:dyDescent="0.25">
      <c r="A18" s="8">
        <v>27</v>
      </c>
      <c r="B18" s="9" t="str">
        <f>VLOOKUP($A18, Equipes!$A$3:$B$32, 2, FALSE)</f>
        <v>JEFFERSON TABAJARA(2004)</v>
      </c>
      <c r="C18" s="18">
        <v>6</v>
      </c>
      <c r="D18" s="10" t="s">
        <v>22</v>
      </c>
      <c r="E18" s="18">
        <v>2</v>
      </c>
      <c r="F18" s="11" t="str">
        <f>VLOOKUP($G18, Equipes!$A$3:$B$32, 2, FALSE)</f>
        <v>NORBERTO(7/9)</v>
      </c>
      <c r="G18" s="8">
        <v>30</v>
      </c>
      <c r="H18" s="9">
        <v>14</v>
      </c>
      <c r="I18" s="9" t="s">
        <v>16</v>
      </c>
      <c r="J18" s="9">
        <v>1</v>
      </c>
      <c r="M18" s="9" t="str">
        <f t="shared" si="0"/>
        <v>JEFFERSON TABAJARA(2004)</v>
      </c>
      <c r="N18" s="9" t="str">
        <f t="shared" si="1"/>
        <v>NORBERTO(7/9)</v>
      </c>
      <c r="O18" s="9" t="str">
        <f t="shared" si="2"/>
        <v>JEFFERSON TABAJARA(2004)</v>
      </c>
      <c r="P18" s="9" t="str">
        <f t="shared" si="3"/>
        <v/>
      </c>
      <c r="Q18" s="9" t="str">
        <f t="shared" si="4"/>
        <v/>
      </c>
      <c r="R18" s="9" t="str">
        <f t="shared" si="5"/>
        <v>NORBERTO(7/9)</v>
      </c>
      <c r="S18" s="9" t="str">
        <f t="shared" si="6"/>
        <v>JEFFERSON TABAJARA(2004)</v>
      </c>
      <c r="T18" s="9">
        <f t="shared" si="7"/>
        <v>6</v>
      </c>
      <c r="U18" s="9" t="str">
        <f t="shared" si="8"/>
        <v>NORBERTO(7/9)</v>
      </c>
      <c r="V18" s="9">
        <f t="shared" si="9"/>
        <v>2</v>
      </c>
      <c r="W18" s="9">
        <f t="shared" si="10"/>
        <v>6</v>
      </c>
    </row>
    <row r="19" spans="1:23" x14ac:dyDescent="0.25">
      <c r="B19" s="13" t="s">
        <v>26</v>
      </c>
      <c r="C19" s="14"/>
      <c r="D19" s="14"/>
      <c r="E19" s="14"/>
      <c r="F19" s="15"/>
      <c r="G19" s="16"/>
      <c r="H19" s="13" t="s">
        <v>11</v>
      </c>
      <c r="I19" s="13" t="s">
        <v>12</v>
      </c>
      <c r="J19" s="13" t="s">
        <v>13</v>
      </c>
      <c r="K19" s="17">
        <f>K3 + TIME(0,20,0)</f>
        <v>44969.493055555555</v>
      </c>
      <c r="M19" s="12" t="s">
        <v>14</v>
      </c>
      <c r="N19" s="12" t="s">
        <v>14</v>
      </c>
      <c r="O19" s="12" t="s">
        <v>15</v>
      </c>
      <c r="P19" s="12" t="s">
        <v>16</v>
      </c>
      <c r="Q19" s="12" t="s">
        <v>16</v>
      </c>
      <c r="R19" s="12" t="s">
        <v>17</v>
      </c>
      <c r="S19" s="12" t="s">
        <v>18</v>
      </c>
      <c r="T19" s="12" t="s">
        <v>19</v>
      </c>
      <c r="U19" s="12" t="s">
        <v>15</v>
      </c>
      <c r="V19" s="12" t="s">
        <v>20</v>
      </c>
      <c r="W19" s="12" t="s">
        <v>21</v>
      </c>
    </row>
    <row r="20" spans="1:23" x14ac:dyDescent="0.25">
      <c r="A20" s="8">
        <v>1</v>
      </c>
      <c r="B20" s="9" t="str">
        <f>VLOOKUP($A20, Equipes!$A$3:$B$32, 2, FALSE)</f>
        <v>PABLO MARTINS(SCCP)</v>
      </c>
      <c r="C20" s="18">
        <v>2</v>
      </c>
      <c r="D20" s="10" t="s">
        <v>22</v>
      </c>
      <c r="E20" s="18">
        <v>2</v>
      </c>
      <c r="F20" s="11" t="str">
        <f>VLOOKUP($G20, Equipes!$A$3:$B$32, 2, FALSE)</f>
        <v>CRISTIANO JOSÉ(LSJC)</v>
      </c>
      <c r="G20" s="8">
        <v>5</v>
      </c>
      <c r="H20" s="9">
        <v>11</v>
      </c>
      <c r="I20" s="9" t="s">
        <v>23</v>
      </c>
      <c r="J20" s="9">
        <v>2</v>
      </c>
      <c r="M20" s="9" t="str">
        <f t="shared" ref="M20:M34" si="11">IF(OR(C20 = "",E20 = ""), "", B20)</f>
        <v>PABLO MARTINS(SCCP)</v>
      </c>
      <c r="N20" s="9" t="str">
        <f t="shared" ref="N20:N34" si="12">IF(OR(C20 = "",E20 = ""), "", F20)</f>
        <v>CRISTIANO JOSÉ(LSJC)</v>
      </c>
      <c r="O20" s="9" t="str">
        <f t="shared" ref="O20:O34" si="13">IF(C20&gt;E20,B20, IF(E20&gt;C20,F20, ""))</f>
        <v/>
      </c>
      <c r="P20" s="9" t="str">
        <f t="shared" ref="P20:P34" si="14">IF(OR(C20 = "",E20 = ""), "", IF(C20=E20,B20, ""))</f>
        <v>PABLO MARTINS(SCCP)</v>
      </c>
      <c r="Q20" s="9" t="str">
        <f t="shared" ref="Q20:Q34" si="15">IF(OR(C20 = "",E20 = ""), "", IF(C20=E20,F20, ""))</f>
        <v>CRISTIANO JOSÉ(LSJC)</v>
      </c>
      <c r="R20" s="9" t="str">
        <f t="shared" ref="R20:R34" si="16">IF(C20&gt;E20,F20, IF(E20&gt;C20,B20, ""))</f>
        <v/>
      </c>
      <c r="S20" s="9" t="str">
        <f t="shared" ref="S20:S34" si="17">IF(OR(C20 = "",E20 = ""), "", B20)</f>
        <v>PABLO MARTINS(SCCP)</v>
      </c>
      <c r="T20" s="9">
        <f t="shared" ref="T20:T34" si="18">IF(C20 = "", "", C20)</f>
        <v>2</v>
      </c>
      <c r="U20" s="9" t="str">
        <f t="shared" ref="U20:U34" si="19">IF(OR(C20 = "",E20 = ""), "", F20)</f>
        <v>CRISTIANO JOSÉ(LSJC)</v>
      </c>
      <c r="V20" s="9">
        <f t="shared" ref="V20:V34" si="20">IF(E20 = "", "", E20)</f>
        <v>2</v>
      </c>
      <c r="W20" s="9">
        <f t="shared" ref="W20:W34" si="21">IF(C20 = "", "", C20)</f>
        <v>2</v>
      </c>
    </row>
    <row r="21" spans="1:23" x14ac:dyDescent="0.25">
      <c r="A21" s="8">
        <v>4</v>
      </c>
      <c r="B21" s="19" t="str">
        <f>VLOOKUP($A21, Equipes!$A$3:$B$32, 2, FALSE)</f>
        <v>RODRIGO MORO(SCCP)</v>
      </c>
      <c r="C21" s="18">
        <v>0</v>
      </c>
      <c r="D21" s="20" t="s">
        <v>22</v>
      </c>
      <c r="E21" s="18">
        <v>1</v>
      </c>
      <c r="F21" s="21" t="str">
        <f>VLOOKUP($G21, Equipes!$A$3:$B$32, 2, FALSE)</f>
        <v>DIOGO(2004)</v>
      </c>
      <c r="G21" s="22">
        <v>6</v>
      </c>
      <c r="H21" s="19">
        <v>13</v>
      </c>
      <c r="I21" s="19" t="s">
        <v>23</v>
      </c>
      <c r="J21" s="19">
        <v>2</v>
      </c>
      <c r="K21" s="19"/>
      <c r="M21" s="9" t="str">
        <f t="shared" si="11"/>
        <v>RODRIGO MORO(SCCP)</v>
      </c>
      <c r="N21" s="9" t="str">
        <f t="shared" si="12"/>
        <v>DIOGO(2004)</v>
      </c>
      <c r="O21" s="9" t="str">
        <f t="shared" si="13"/>
        <v>DIOGO(2004)</v>
      </c>
      <c r="P21" s="9" t="str">
        <f t="shared" si="14"/>
        <v/>
      </c>
      <c r="Q21" s="9" t="str">
        <f t="shared" si="15"/>
        <v/>
      </c>
      <c r="R21" s="9" t="str">
        <f t="shared" si="16"/>
        <v>RODRIGO MORO(SCCP)</v>
      </c>
      <c r="S21" s="9" t="str">
        <f t="shared" si="17"/>
        <v>RODRIGO MORO(SCCP)</v>
      </c>
      <c r="T21" s="9">
        <f t="shared" si="18"/>
        <v>0</v>
      </c>
      <c r="U21" s="9" t="str">
        <f t="shared" si="19"/>
        <v>DIOGO(2004)</v>
      </c>
      <c r="V21" s="9">
        <f t="shared" si="20"/>
        <v>1</v>
      </c>
      <c r="W21" s="9">
        <f t="shared" si="21"/>
        <v>0</v>
      </c>
    </row>
    <row r="22" spans="1:23" x14ac:dyDescent="0.25">
      <c r="A22" s="8">
        <v>2</v>
      </c>
      <c r="B22" s="9" t="str">
        <f>VLOOKUP($A22, Equipes!$A$3:$B$32, 2, FALSE)</f>
        <v>PROFESSOR(LSJC)</v>
      </c>
      <c r="C22" s="18">
        <v>1</v>
      </c>
      <c r="D22" s="10" t="s">
        <v>22</v>
      </c>
      <c r="E22" s="18">
        <v>1</v>
      </c>
      <c r="F22" s="11" t="str">
        <f>VLOOKUP($G22, Equipes!$A$3:$B$32, 2, FALSE)</f>
        <v>MICA(MZ)</v>
      </c>
      <c r="G22" s="8">
        <v>3</v>
      </c>
      <c r="H22" s="9">
        <v>12</v>
      </c>
      <c r="I22" s="9" t="s">
        <v>23</v>
      </c>
      <c r="J22" s="9">
        <v>2</v>
      </c>
      <c r="M22" s="9" t="str">
        <f t="shared" si="11"/>
        <v>PROFESSOR(LSJC)</v>
      </c>
      <c r="N22" s="9" t="str">
        <f t="shared" si="12"/>
        <v>MICA(MZ)</v>
      </c>
      <c r="O22" s="9" t="str">
        <f t="shared" si="13"/>
        <v/>
      </c>
      <c r="P22" s="9" t="str">
        <f t="shared" si="14"/>
        <v>PROFESSOR(LSJC)</v>
      </c>
      <c r="Q22" s="9" t="str">
        <f t="shared" si="15"/>
        <v>MICA(MZ)</v>
      </c>
      <c r="R22" s="9" t="str">
        <f t="shared" si="16"/>
        <v/>
      </c>
      <c r="S22" s="9" t="str">
        <f t="shared" si="17"/>
        <v>PROFESSOR(LSJC)</v>
      </c>
      <c r="T22" s="9">
        <f t="shared" si="18"/>
        <v>1</v>
      </c>
      <c r="U22" s="9" t="str">
        <f t="shared" si="19"/>
        <v>MICA(MZ)</v>
      </c>
      <c r="V22" s="9">
        <f t="shared" si="20"/>
        <v>1</v>
      </c>
      <c r="W22" s="9">
        <f t="shared" si="21"/>
        <v>1</v>
      </c>
    </row>
    <row r="23" spans="1:23" x14ac:dyDescent="0.25">
      <c r="A23" s="8">
        <v>7</v>
      </c>
      <c r="B23" s="19" t="str">
        <f>VLOOKUP($A23, Equipes!$A$3:$B$32, 2, FALSE)</f>
        <v>MARCOS WILLOW(SCCP)</v>
      </c>
      <c r="C23" s="18">
        <v>1</v>
      </c>
      <c r="D23" s="20" t="s">
        <v>22</v>
      </c>
      <c r="E23" s="18">
        <v>1</v>
      </c>
      <c r="F23" s="21" t="str">
        <f>VLOOKUP($G23, Equipes!$A$3:$B$32, 2, FALSE)</f>
        <v>LÉO CARIOCA(MZ)</v>
      </c>
      <c r="G23" s="22">
        <v>11</v>
      </c>
      <c r="H23" s="19">
        <v>16</v>
      </c>
      <c r="I23" s="19" t="s">
        <v>24</v>
      </c>
      <c r="J23" s="19">
        <v>2</v>
      </c>
      <c r="K23" s="19"/>
      <c r="M23" s="9" t="str">
        <f t="shared" si="11"/>
        <v>MARCOS WILLOW(SCCP)</v>
      </c>
      <c r="N23" s="9" t="str">
        <f t="shared" si="12"/>
        <v>LÉO CARIOCA(MZ)</v>
      </c>
      <c r="O23" s="9" t="str">
        <f t="shared" si="13"/>
        <v/>
      </c>
      <c r="P23" s="9" t="str">
        <f t="shared" si="14"/>
        <v>MARCOS WILLOW(SCCP)</v>
      </c>
      <c r="Q23" s="9" t="str">
        <f t="shared" si="15"/>
        <v>LÉO CARIOCA(MZ)</v>
      </c>
      <c r="R23" s="9" t="str">
        <f t="shared" si="16"/>
        <v/>
      </c>
      <c r="S23" s="9" t="str">
        <f t="shared" si="17"/>
        <v>MARCOS WILLOW(SCCP)</v>
      </c>
      <c r="T23" s="9">
        <f t="shared" si="18"/>
        <v>1</v>
      </c>
      <c r="U23" s="9" t="str">
        <f t="shared" si="19"/>
        <v>LÉO CARIOCA(MZ)</v>
      </c>
      <c r="V23" s="9">
        <f t="shared" si="20"/>
        <v>1</v>
      </c>
      <c r="W23" s="9">
        <f t="shared" si="21"/>
        <v>1</v>
      </c>
    </row>
    <row r="24" spans="1:23" x14ac:dyDescent="0.25">
      <c r="A24" s="8">
        <v>10</v>
      </c>
      <c r="B24" s="9" t="str">
        <f>VLOOKUP($A24, Equipes!$A$3:$B$32, 2, FALSE)</f>
        <v>TERUEL(SCCP)</v>
      </c>
      <c r="C24" s="18">
        <v>2</v>
      </c>
      <c r="D24" s="10" t="s">
        <v>22</v>
      </c>
      <c r="E24" s="18">
        <v>3</v>
      </c>
      <c r="F24" s="11" t="str">
        <f>VLOOKUP($G24, Equipes!$A$3:$B$32, 2, FALSE)</f>
        <v>MARCÃO SILVA(SPFC)</v>
      </c>
      <c r="G24" s="8">
        <v>12</v>
      </c>
      <c r="H24" s="9">
        <v>15</v>
      </c>
      <c r="I24" s="9" t="s">
        <v>24</v>
      </c>
      <c r="J24" s="9">
        <v>2</v>
      </c>
      <c r="M24" s="9" t="str">
        <f t="shared" si="11"/>
        <v>TERUEL(SCCP)</v>
      </c>
      <c r="N24" s="9" t="str">
        <f t="shared" si="12"/>
        <v>MARCÃO SILVA(SPFC)</v>
      </c>
      <c r="O24" s="9" t="str">
        <f t="shared" si="13"/>
        <v>MARCÃO SILVA(SPFC)</v>
      </c>
      <c r="P24" s="9" t="str">
        <f t="shared" si="14"/>
        <v/>
      </c>
      <c r="Q24" s="9" t="str">
        <f t="shared" si="15"/>
        <v/>
      </c>
      <c r="R24" s="9" t="str">
        <f t="shared" si="16"/>
        <v>TERUEL(SCCP)</v>
      </c>
      <c r="S24" s="9" t="str">
        <f t="shared" si="17"/>
        <v>TERUEL(SCCP)</v>
      </c>
      <c r="T24" s="9">
        <f t="shared" si="18"/>
        <v>2</v>
      </c>
      <c r="U24" s="9" t="str">
        <f t="shared" si="19"/>
        <v>MARCÃO SILVA(SPFC)</v>
      </c>
      <c r="V24" s="9">
        <f t="shared" si="20"/>
        <v>3</v>
      </c>
      <c r="W24" s="9">
        <f t="shared" si="21"/>
        <v>2</v>
      </c>
    </row>
    <row r="25" spans="1:23" x14ac:dyDescent="0.25">
      <c r="A25" s="8">
        <v>8</v>
      </c>
      <c r="B25" s="19" t="str">
        <f>VLOOKUP($A25, Equipes!$A$3:$B$32, 2, FALSE)</f>
        <v>MURA(MZ)</v>
      </c>
      <c r="C25" s="18">
        <v>1</v>
      </c>
      <c r="D25" s="20" t="s">
        <v>22</v>
      </c>
      <c r="E25" s="18">
        <v>2</v>
      </c>
      <c r="F25" s="21" t="str">
        <f>VLOOKUP($G25, Equipes!$A$3:$B$32, 2, FALSE)</f>
        <v>MARIELCIO(LSJC)</v>
      </c>
      <c r="G25" s="22">
        <v>9</v>
      </c>
      <c r="H25" s="19">
        <v>7</v>
      </c>
      <c r="I25" s="19" t="s">
        <v>24</v>
      </c>
      <c r="J25" s="19">
        <v>2</v>
      </c>
      <c r="K25" s="19"/>
      <c r="M25" s="9" t="str">
        <f t="shared" si="11"/>
        <v>MURA(MZ)</v>
      </c>
      <c r="N25" s="9" t="str">
        <f t="shared" si="12"/>
        <v>MARIELCIO(LSJC)</v>
      </c>
      <c r="O25" s="9" t="str">
        <f t="shared" si="13"/>
        <v>MARIELCIO(LSJC)</v>
      </c>
      <c r="P25" s="9" t="str">
        <f t="shared" si="14"/>
        <v/>
      </c>
      <c r="Q25" s="9" t="str">
        <f t="shared" si="15"/>
        <v/>
      </c>
      <c r="R25" s="9" t="str">
        <f t="shared" si="16"/>
        <v>MURA(MZ)</v>
      </c>
      <c r="S25" s="9" t="str">
        <f t="shared" si="17"/>
        <v>MURA(MZ)</v>
      </c>
      <c r="T25" s="9">
        <f t="shared" si="18"/>
        <v>1</v>
      </c>
      <c r="U25" s="9" t="str">
        <f t="shared" si="19"/>
        <v>MARIELCIO(LSJC)</v>
      </c>
      <c r="V25" s="9">
        <f t="shared" si="20"/>
        <v>2</v>
      </c>
      <c r="W25" s="9">
        <f t="shared" si="21"/>
        <v>1</v>
      </c>
    </row>
    <row r="26" spans="1:23" x14ac:dyDescent="0.25">
      <c r="A26" s="8">
        <v>13</v>
      </c>
      <c r="B26" s="9" t="str">
        <f>VLOOKUP($A26, Equipes!$A$3:$B$32, 2, FALSE)</f>
        <v>SALLYS(SCCP)</v>
      </c>
      <c r="C26" s="18">
        <v>0</v>
      </c>
      <c r="D26" s="10" t="s">
        <v>22</v>
      </c>
      <c r="E26" s="18">
        <v>3</v>
      </c>
      <c r="F26" s="11" t="str">
        <f>VLOOKUP($G26, Equipes!$A$3:$B$32, 2, FALSE)</f>
        <v>RUAS(2004)</v>
      </c>
      <c r="G26" s="8">
        <v>17</v>
      </c>
      <c r="H26" s="9">
        <v>5</v>
      </c>
      <c r="I26" s="9" t="s">
        <v>25</v>
      </c>
      <c r="J26" s="9">
        <v>2</v>
      </c>
      <c r="M26" s="9" t="str">
        <f t="shared" si="11"/>
        <v>SALLYS(SCCP)</v>
      </c>
      <c r="N26" s="9" t="str">
        <f t="shared" si="12"/>
        <v>RUAS(2004)</v>
      </c>
      <c r="O26" s="9" t="str">
        <f t="shared" si="13"/>
        <v>RUAS(2004)</v>
      </c>
      <c r="P26" s="9" t="str">
        <f t="shared" si="14"/>
        <v/>
      </c>
      <c r="Q26" s="9" t="str">
        <f t="shared" si="15"/>
        <v/>
      </c>
      <c r="R26" s="9" t="str">
        <f t="shared" si="16"/>
        <v>SALLYS(SCCP)</v>
      </c>
      <c r="S26" s="9" t="str">
        <f t="shared" si="17"/>
        <v>SALLYS(SCCP)</v>
      </c>
      <c r="T26" s="9">
        <f t="shared" si="18"/>
        <v>0</v>
      </c>
      <c r="U26" s="9" t="str">
        <f t="shared" si="19"/>
        <v>RUAS(2004)</v>
      </c>
      <c r="V26" s="9">
        <f t="shared" si="20"/>
        <v>3</v>
      </c>
      <c r="W26" s="9">
        <f t="shared" si="21"/>
        <v>0</v>
      </c>
    </row>
    <row r="27" spans="1:23" x14ac:dyDescent="0.25">
      <c r="A27" s="8">
        <v>16</v>
      </c>
      <c r="B27" s="19" t="str">
        <f>VLOOKUP($A27, Equipes!$A$3:$B$32, 2, FALSE)</f>
        <v>VINICIUS ROLIM(SCCP)</v>
      </c>
      <c r="C27" s="18">
        <v>2</v>
      </c>
      <c r="D27" s="20" t="s">
        <v>22</v>
      </c>
      <c r="E27" s="18">
        <v>3</v>
      </c>
      <c r="F27" s="21" t="str">
        <f>VLOOKUP($G27, Equipes!$A$3:$B$32, 2, FALSE)</f>
        <v>ELSIO(SPFC)</v>
      </c>
      <c r="G27" s="22">
        <v>18</v>
      </c>
      <c r="H27" s="19">
        <v>6</v>
      </c>
      <c r="I27" s="19" t="s">
        <v>25</v>
      </c>
      <c r="J27" s="19">
        <v>2</v>
      </c>
      <c r="K27" s="19"/>
      <c r="M27" s="9" t="str">
        <f t="shared" si="11"/>
        <v>VINICIUS ROLIM(SCCP)</v>
      </c>
      <c r="N27" s="9" t="str">
        <f t="shared" si="12"/>
        <v>ELSIO(SPFC)</v>
      </c>
      <c r="O27" s="9" t="str">
        <f t="shared" si="13"/>
        <v>ELSIO(SPFC)</v>
      </c>
      <c r="P27" s="9" t="str">
        <f t="shared" si="14"/>
        <v/>
      </c>
      <c r="Q27" s="9" t="str">
        <f t="shared" si="15"/>
        <v/>
      </c>
      <c r="R27" s="9" t="str">
        <f t="shared" si="16"/>
        <v>VINICIUS ROLIM(SCCP)</v>
      </c>
      <c r="S27" s="9" t="str">
        <f t="shared" si="17"/>
        <v>VINICIUS ROLIM(SCCP)</v>
      </c>
      <c r="T27" s="9">
        <f t="shared" si="18"/>
        <v>2</v>
      </c>
      <c r="U27" s="9" t="str">
        <f t="shared" si="19"/>
        <v>ELSIO(SPFC)</v>
      </c>
      <c r="V27" s="9">
        <f t="shared" si="20"/>
        <v>3</v>
      </c>
      <c r="W27" s="9">
        <f t="shared" si="21"/>
        <v>2</v>
      </c>
    </row>
    <row r="28" spans="1:23" x14ac:dyDescent="0.25">
      <c r="A28" s="8">
        <v>14</v>
      </c>
      <c r="B28" s="9" t="str">
        <f>VLOOKUP($A28, Equipes!$A$3:$B$32, 2, FALSE)</f>
        <v>ERISMAR(MZ)</v>
      </c>
      <c r="C28" s="18">
        <v>2</v>
      </c>
      <c r="D28" s="10" t="s">
        <v>22</v>
      </c>
      <c r="E28" s="18">
        <v>1</v>
      </c>
      <c r="F28" s="11" t="str">
        <f>VLOOKUP($G28, Equipes!$A$3:$B$32, 2, FALSE)</f>
        <v>LUIZ MOREIRA(LSJC)</v>
      </c>
      <c r="G28" s="8">
        <v>15</v>
      </c>
      <c r="H28" s="9">
        <v>2</v>
      </c>
      <c r="I28" s="9" t="s">
        <v>25</v>
      </c>
      <c r="J28" s="9">
        <v>2</v>
      </c>
      <c r="M28" s="9" t="str">
        <f t="shared" si="11"/>
        <v>ERISMAR(MZ)</v>
      </c>
      <c r="N28" s="9" t="str">
        <f t="shared" si="12"/>
        <v>LUIZ MOREIRA(LSJC)</v>
      </c>
      <c r="O28" s="9" t="str">
        <f t="shared" si="13"/>
        <v>ERISMAR(MZ)</v>
      </c>
      <c r="P28" s="9" t="str">
        <f t="shared" si="14"/>
        <v/>
      </c>
      <c r="Q28" s="9" t="str">
        <f t="shared" si="15"/>
        <v/>
      </c>
      <c r="R28" s="9" t="str">
        <f t="shared" si="16"/>
        <v>LUIZ MOREIRA(LSJC)</v>
      </c>
      <c r="S28" s="9" t="str">
        <f t="shared" si="17"/>
        <v>ERISMAR(MZ)</v>
      </c>
      <c r="T28" s="9">
        <f t="shared" si="18"/>
        <v>2</v>
      </c>
      <c r="U28" s="9" t="str">
        <f t="shared" si="19"/>
        <v>LUIZ MOREIRA(LSJC)</v>
      </c>
      <c r="V28" s="9">
        <f t="shared" si="20"/>
        <v>1</v>
      </c>
      <c r="W28" s="9">
        <f t="shared" si="21"/>
        <v>2</v>
      </c>
    </row>
    <row r="29" spans="1:23" x14ac:dyDescent="0.25">
      <c r="A29" s="8">
        <v>19</v>
      </c>
      <c r="B29" s="19" t="str">
        <f>VLOOKUP($A29, Equipes!$A$3:$B$32, 2, FALSE)</f>
        <v>REGINALDO(SCCP)</v>
      </c>
      <c r="C29" s="18">
        <v>0</v>
      </c>
      <c r="D29" s="20" t="s">
        <v>22</v>
      </c>
      <c r="E29" s="18">
        <v>1</v>
      </c>
      <c r="F29" s="21" t="str">
        <f>VLOOKUP($G29, Equipes!$A$3:$B$32, 2, FALSE)</f>
        <v>PEPE 2004(2004)</v>
      </c>
      <c r="G29" s="22">
        <v>23</v>
      </c>
      <c r="H29" s="19">
        <v>4</v>
      </c>
      <c r="I29" s="19" t="s">
        <v>17</v>
      </c>
      <c r="J29" s="19">
        <v>2</v>
      </c>
      <c r="K29" s="19"/>
      <c r="M29" s="9" t="str">
        <f t="shared" si="11"/>
        <v>REGINALDO(SCCP)</v>
      </c>
      <c r="N29" s="9" t="str">
        <f t="shared" si="12"/>
        <v>PEPE 2004(2004)</v>
      </c>
      <c r="O29" s="9" t="str">
        <f t="shared" si="13"/>
        <v>PEPE 2004(2004)</v>
      </c>
      <c r="P29" s="9" t="str">
        <f t="shared" si="14"/>
        <v/>
      </c>
      <c r="Q29" s="9" t="str">
        <f t="shared" si="15"/>
        <v/>
      </c>
      <c r="R29" s="9" t="str">
        <f t="shared" si="16"/>
        <v>REGINALDO(SCCP)</v>
      </c>
      <c r="S29" s="9" t="str">
        <f t="shared" si="17"/>
        <v>REGINALDO(SCCP)</v>
      </c>
      <c r="T29" s="9">
        <f t="shared" si="18"/>
        <v>0</v>
      </c>
      <c r="U29" s="9" t="str">
        <f t="shared" si="19"/>
        <v>PEPE 2004(2004)</v>
      </c>
      <c r="V29" s="9">
        <f t="shared" si="20"/>
        <v>1</v>
      </c>
      <c r="W29" s="9">
        <f t="shared" si="21"/>
        <v>0</v>
      </c>
    </row>
    <row r="30" spans="1:23" x14ac:dyDescent="0.25">
      <c r="A30" s="8">
        <v>22</v>
      </c>
      <c r="B30" s="9" t="str">
        <f>VLOOKUP($A30, Equipes!$A$3:$B$32, 2, FALSE)</f>
        <v>GALDEANO(SCCP)</v>
      </c>
      <c r="C30" s="18">
        <v>1</v>
      </c>
      <c r="D30" s="10" t="s">
        <v>22</v>
      </c>
      <c r="E30" s="18">
        <v>1</v>
      </c>
      <c r="F30" s="11" t="str">
        <f>VLOOKUP($G30, Equipes!$A$3:$B$32, 2, FALSE)</f>
        <v>ZÉ LUIZ(SPFC)</v>
      </c>
      <c r="G30" s="8">
        <v>24</v>
      </c>
      <c r="H30" s="9">
        <v>3</v>
      </c>
      <c r="I30" s="9" t="s">
        <v>17</v>
      </c>
      <c r="J30" s="9">
        <v>2</v>
      </c>
      <c r="M30" s="9" t="str">
        <f t="shared" si="11"/>
        <v>GALDEANO(SCCP)</v>
      </c>
      <c r="N30" s="9" t="str">
        <f t="shared" si="12"/>
        <v>ZÉ LUIZ(SPFC)</v>
      </c>
      <c r="O30" s="9" t="str">
        <f t="shared" si="13"/>
        <v/>
      </c>
      <c r="P30" s="9" t="str">
        <f t="shared" si="14"/>
        <v>GALDEANO(SCCP)</v>
      </c>
      <c r="Q30" s="9" t="str">
        <f t="shared" si="15"/>
        <v>ZÉ LUIZ(SPFC)</v>
      </c>
      <c r="R30" s="9" t="str">
        <f t="shared" si="16"/>
        <v/>
      </c>
      <c r="S30" s="9" t="str">
        <f t="shared" si="17"/>
        <v>GALDEANO(SCCP)</v>
      </c>
      <c r="T30" s="9">
        <f t="shared" si="18"/>
        <v>1</v>
      </c>
      <c r="U30" s="9" t="str">
        <f t="shared" si="19"/>
        <v>ZÉ LUIZ(SPFC)</v>
      </c>
      <c r="V30" s="9">
        <f t="shared" si="20"/>
        <v>1</v>
      </c>
      <c r="W30" s="9">
        <f t="shared" si="21"/>
        <v>1</v>
      </c>
    </row>
    <row r="31" spans="1:23" x14ac:dyDescent="0.25">
      <c r="A31" s="8">
        <v>20</v>
      </c>
      <c r="B31" s="19" t="str">
        <f>VLOOKUP($A31, Equipes!$A$3:$B$32, 2, FALSE)</f>
        <v>LUIZ COELHO(MZ)</v>
      </c>
      <c r="C31" s="18">
        <v>1</v>
      </c>
      <c r="D31" s="20" t="s">
        <v>22</v>
      </c>
      <c r="E31" s="18">
        <v>1</v>
      </c>
      <c r="F31" s="21" t="str">
        <f>VLOOKUP($G31, Equipes!$A$3:$B$32, 2, FALSE)</f>
        <v>TUPINAMBÁ(LSJC)</v>
      </c>
      <c r="G31" s="22">
        <v>21</v>
      </c>
      <c r="H31" s="19">
        <v>14</v>
      </c>
      <c r="I31" s="19" t="s">
        <v>17</v>
      </c>
      <c r="J31" s="19">
        <v>2</v>
      </c>
      <c r="K31" s="19"/>
      <c r="M31" s="9" t="str">
        <f t="shared" si="11"/>
        <v>LUIZ COELHO(MZ)</v>
      </c>
      <c r="N31" s="9" t="str">
        <f t="shared" si="12"/>
        <v>TUPINAMBÁ(LSJC)</v>
      </c>
      <c r="O31" s="9" t="str">
        <f t="shared" si="13"/>
        <v/>
      </c>
      <c r="P31" s="9" t="str">
        <f t="shared" si="14"/>
        <v>LUIZ COELHO(MZ)</v>
      </c>
      <c r="Q31" s="9" t="str">
        <f t="shared" si="15"/>
        <v>TUPINAMBÁ(LSJC)</v>
      </c>
      <c r="R31" s="9" t="str">
        <f t="shared" si="16"/>
        <v/>
      </c>
      <c r="S31" s="9" t="str">
        <f t="shared" si="17"/>
        <v>LUIZ COELHO(MZ)</v>
      </c>
      <c r="T31" s="9">
        <f t="shared" si="18"/>
        <v>1</v>
      </c>
      <c r="U31" s="9" t="str">
        <f t="shared" si="19"/>
        <v>TUPINAMBÁ(LSJC)</v>
      </c>
      <c r="V31" s="9">
        <f t="shared" si="20"/>
        <v>1</v>
      </c>
      <c r="W31" s="9">
        <f t="shared" si="21"/>
        <v>1</v>
      </c>
    </row>
    <row r="32" spans="1:23" x14ac:dyDescent="0.25">
      <c r="A32" s="8">
        <v>25</v>
      </c>
      <c r="B32" s="9" t="str">
        <f>VLOOKUP($A32, Equipes!$A$3:$B$32, 2, FALSE)</f>
        <v>ANDRÉ COELHO(SCCP)</v>
      </c>
      <c r="C32" s="18">
        <v>0</v>
      </c>
      <c r="D32" s="10" t="s">
        <v>22</v>
      </c>
      <c r="E32" s="18">
        <v>0</v>
      </c>
      <c r="F32" s="11" t="str">
        <f>VLOOKUP($G32, Equipes!$A$3:$B$32, 2, FALSE)</f>
        <v>DJ IURY(LSJC)</v>
      </c>
      <c r="G32" s="8">
        <v>29</v>
      </c>
      <c r="H32" s="9">
        <v>10</v>
      </c>
      <c r="I32" s="9" t="s">
        <v>16</v>
      </c>
      <c r="J32" s="9">
        <v>2</v>
      </c>
      <c r="M32" s="9" t="str">
        <f t="shared" si="11"/>
        <v>ANDRÉ COELHO(SCCP)</v>
      </c>
      <c r="N32" s="9" t="str">
        <f t="shared" si="12"/>
        <v>DJ IURY(LSJC)</v>
      </c>
      <c r="O32" s="9" t="str">
        <f t="shared" si="13"/>
        <v/>
      </c>
      <c r="P32" s="9" t="str">
        <f t="shared" si="14"/>
        <v>ANDRÉ COELHO(SCCP)</v>
      </c>
      <c r="Q32" s="9" t="str">
        <f t="shared" si="15"/>
        <v>DJ IURY(LSJC)</v>
      </c>
      <c r="R32" s="9" t="str">
        <f t="shared" si="16"/>
        <v/>
      </c>
      <c r="S32" s="9" t="str">
        <f t="shared" si="17"/>
        <v>ANDRÉ COELHO(SCCP)</v>
      </c>
      <c r="T32" s="9">
        <f t="shared" si="18"/>
        <v>0</v>
      </c>
      <c r="U32" s="9" t="str">
        <f t="shared" si="19"/>
        <v>DJ IURY(LSJC)</v>
      </c>
      <c r="V32" s="9">
        <f t="shared" si="20"/>
        <v>0</v>
      </c>
      <c r="W32" s="9">
        <f t="shared" si="21"/>
        <v>0</v>
      </c>
    </row>
    <row r="33" spans="1:23" x14ac:dyDescent="0.25">
      <c r="A33" s="8">
        <v>28</v>
      </c>
      <c r="B33" s="19" t="str">
        <f>VLOOKUP($A33, Equipes!$A$3:$B$32, 2, FALSE)</f>
        <v>CORTEZ (MZ)</v>
      </c>
      <c r="C33" s="18">
        <v>0</v>
      </c>
      <c r="D33" s="20" t="s">
        <v>22</v>
      </c>
      <c r="E33" s="18">
        <v>0</v>
      </c>
      <c r="F33" s="21" t="str">
        <f>VLOOKUP($G33, Equipes!$A$3:$B$32, 2, FALSE)</f>
        <v>NORBERTO(7/9)</v>
      </c>
      <c r="G33" s="22">
        <v>30</v>
      </c>
      <c r="H33" s="19">
        <v>9</v>
      </c>
      <c r="I33" s="19" t="s">
        <v>16</v>
      </c>
      <c r="J33" s="19">
        <v>2</v>
      </c>
      <c r="K33" s="19"/>
      <c r="M33" s="9" t="str">
        <f t="shared" si="11"/>
        <v>CORTEZ (MZ)</v>
      </c>
      <c r="N33" s="9" t="str">
        <f t="shared" si="12"/>
        <v>NORBERTO(7/9)</v>
      </c>
      <c r="O33" s="9" t="str">
        <f t="shared" si="13"/>
        <v/>
      </c>
      <c r="P33" s="9" t="str">
        <f t="shared" si="14"/>
        <v>CORTEZ (MZ)</v>
      </c>
      <c r="Q33" s="9" t="str">
        <f t="shared" si="15"/>
        <v>NORBERTO(7/9)</v>
      </c>
      <c r="R33" s="9" t="str">
        <f t="shared" si="16"/>
        <v/>
      </c>
      <c r="S33" s="9" t="str">
        <f t="shared" si="17"/>
        <v>CORTEZ (MZ)</v>
      </c>
      <c r="T33" s="9">
        <f t="shared" si="18"/>
        <v>0</v>
      </c>
      <c r="U33" s="9" t="str">
        <f t="shared" si="19"/>
        <v>NORBERTO(7/9)</v>
      </c>
      <c r="V33" s="9">
        <f t="shared" si="20"/>
        <v>0</v>
      </c>
      <c r="W33" s="9">
        <f t="shared" si="21"/>
        <v>0</v>
      </c>
    </row>
    <row r="34" spans="1:23" x14ac:dyDescent="0.25">
      <c r="A34" s="8">
        <v>26</v>
      </c>
      <c r="B34" s="9" t="str">
        <f>VLOOKUP($A34, Equipes!$A$3:$B$32, 2, FALSE)</f>
        <v>RAFAEL BALIEIRO(LSJC)</v>
      </c>
      <c r="C34" s="18">
        <v>2</v>
      </c>
      <c r="D34" s="10" t="s">
        <v>22</v>
      </c>
      <c r="E34" s="18">
        <v>3</v>
      </c>
      <c r="F34" s="11" t="str">
        <f>VLOOKUP($G34, Equipes!$A$3:$B$32, 2, FALSE)</f>
        <v>JEFFERSON TABAJARA(2004)</v>
      </c>
      <c r="G34" s="8">
        <v>27</v>
      </c>
      <c r="H34" s="9">
        <v>8</v>
      </c>
      <c r="I34" s="9" t="s">
        <v>16</v>
      </c>
      <c r="J34" s="9">
        <v>2</v>
      </c>
      <c r="M34" s="9" t="str">
        <f t="shared" si="11"/>
        <v>RAFAEL BALIEIRO(LSJC)</v>
      </c>
      <c r="N34" s="9" t="str">
        <f t="shared" si="12"/>
        <v>JEFFERSON TABAJARA(2004)</v>
      </c>
      <c r="O34" s="9" t="str">
        <f t="shared" si="13"/>
        <v>JEFFERSON TABAJARA(2004)</v>
      </c>
      <c r="P34" s="9" t="str">
        <f t="shared" si="14"/>
        <v/>
      </c>
      <c r="Q34" s="9" t="str">
        <f t="shared" si="15"/>
        <v/>
      </c>
      <c r="R34" s="9" t="str">
        <f t="shared" si="16"/>
        <v>RAFAEL BALIEIRO(LSJC)</v>
      </c>
      <c r="S34" s="9" t="str">
        <f t="shared" si="17"/>
        <v>RAFAEL BALIEIRO(LSJC)</v>
      </c>
      <c r="T34" s="9">
        <f t="shared" si="18"/>
        <v>2</v>
      </c>
      <c r="U34" s="9" t="str">
        <f t="shared" si="19"/>
        <v>JEFFERSON TABAJARA(2004)</v>
      </c>
      <c r="V34" s="9">
        <f t="shared" si="20"/>
        <v>3</v>
      </c>
      <c r="W34" s="9">
        <f t="shared" si="21"/>
        <v>2</v>
      </c>
    </row>
    <row r="35" spans="1:23" x14ac:dyDescent="0.25">
      <c r="B35" s="13" t="s">
        <v>27</v>
      </c>
      <c r="C35" s="14"/>
      <c r="D35" s="14"/>
      <c r="E35" s="14"/>
      <c r="F35" s="15"/>
      <c r="G35" s="16"/>
      <c r="H35" s="13" t="s">
        <v>11</v>
      </c>
      <c r="I35" s="13" t="s">
        <v>12</v>
      </c>
      <c r="J35" s="13" t="s">
        <v>13</v>
      </c>
      <c r="K35" s="17">
        <f>K3 + TIME(0,40,0)</f>
        <v>44969.506944444445</v>
      </c>
      <c r="M35" s="12" t="s">
        <v>14</v>
      </c>
      <c r="N35" s="12" t="s">
        <v>14</v>
      </c>
      <c r="O35" s="12" t="s">
        <v>15</v>
      </c>
      <c r="P35" s="12" t="s">
        <v>16</v>
      </c>
      <c r="Q35" s="12" t="s">
        <v>16</v>
      </c>
      <c r="R35" s="12" t="s">
        <v>17</v>
      </c>
      <c r="S35" s="12" t="s">
        <v>18</v>
      </c>
      <c r="T35" s="12" t="s">
        <v>19</v>
      </c>
      <c r="U35" s="12" t="s">
        <v>15</v>
      </c>
      <c r="V35" s="12" t="s">
        <v>20</v>
      </c>
      <c r="W35" s="12" t="s">
        <v>21</v>
      </c>
    </row>
    <row r="36" spans="1:23" x14ac:dyDescent="0.25">
      <c r="A36" s="8">
        <v>1</v>
      </c>
      <c r="B36" s="9" t="str">
        <f>VLOOKUP($A36, Equipes!$A$3:$B$32, 2, FALSE)</f>
        <v>PABLO MARTINS(SCCP)</v>
      </c>
      <c r="C36" s="18">
        <v>1</v>
      </c>
      <c r="D36" s="10" t="s">
        <v>22</v>
      </c>
      <c r="E36" s="18">
        <v>2</v>
      </c>
      <c r="F36" s="11" t="str">
        <f>VLOOKUP($G36, Equipes!$A$3:$B$32, 2, FALSE)</f>
        <v>DIOGO(2004)</v>
      </c>
      <c r="G36" s="8">
        <v>6</v>
      </c>
      <c r="H36" s="9">
        <v>13</v>
      </c>
      <c r="I36" s="9" t="s">
        <v>23</v>
      </c>
      <c r="J36" s="9">
        <v>3</v>
      </c>
      <c r="M36" s="9" t="str">
        <f t="shared" ref="M36:M50" si="22">IF(OR(C36 = "",E36 = ""), "", B36)</f>
        <v>PABLO MARTINS(SCCP)</v>
      </c>
      <c r="N36" s="9" t="str">
        <f t="shared" ref="N36:N50" si="23">IF(OR(C36 = "",E36 = ""), "", F36)</f>
        <v>DIOGO(2004)</v>
      </c>
      <c r="O36" s="9" t="str">
        <f t="shared" ref="O36:O50" si="24">IF(C36&gt;E36,B36, IF(E36&gt;C36,F36, ""))</f>
        <v>DIOGO(2004)</v>
      </c>
      <c r="P36" s="9" t="str">
        <f t="shared" ref="P36:P50" si="25">IF(OR(C36 = "",E36 = ""), "", IF(C36=E36,B36, ""))</f>
        <v/>
      </c>
      <c r="Q36" s="9" t="str">
        <f t="shared" ref="Q36:Q50" si="26">IF(OR(C36 = "",E36 = ""), "", IF(C36=E36,F36, ""))</f>
        <v/>
      </c>
      <c r="R36" s="9" t="str">
        <f t="shared" ref="R36:R50" si="27">IF(C36&gt;E36,F36, IF(E36&gt;C36,B36, ""))</f>
        <v>PABLO MARTINS(SCCP)</v>
      </c>
      <c r="S36" s="9" t="str">
        <f t="shared" ref="S36:S50" si="28">IF(OR(C36 = "",E36 = ""), "", B36)</f>
        <v>PABLO MARTINS(SCCP)</v>
      </c>
      <c r="T36" s="9">
        <f t="shared" ref="T36:T50" si="29">IF(C36 = "", "", C36)</f>
        <v>1</v>
      </c>
      <c r="U36" s="9" t="str">
        <f t="shared" ref="U36:U50" si="30">IF(OR(C36 = "",E36 = ""), "", F36)</f>
        <v>DIOGO(2004)</v>
      </c>
      <c r="V36" s="9">
        <f t="shared" ref="V36:V50" si="31">IF(E36 = "", "", E36)</f>
        <v>2</v>
      </c>
      <c r="W36" s="9">
        <f t="shared" ref="W36:W50" si="32">IF(C36 = "", "", C36)</f>
        <v>1</v>
      </c>
    </row>
    <row r="37" spans="1:23" x14ac:dyDescent="0.25">
      <c r="A37" s="8">
        <v>5</v>
      </c>
      <c r="B37" s="19" t="str">
        <f>VLOOKUP($A37, Equipes!$A$3:$B$32, 2, FALSE)</f>
        <v>CRISTIANO JOSÉ(LSJC)</v>
      </c>
      <c r="C37" s="18">
        <v>0</v>
      </c>
      <c r="D37" s="20" t="s">
        <v>22</v>
      </c>
      <c r="E37" s="18">
        <v>1</v>
      </c>
      <c r="F37" s="21" t="str">
        <f>VLOOKUP($G37, Equipes!$A$3:$B$32, 2, FALSE)</f>
        <v>MICA(MZ)</v>
      </c>
      <c r="G37" s="22">
        <v>3</v>
      </c>
      <c r="H37" s="19">
        <v>10</v>
      </c>
      <c r="I37" s="19" t="s">
        <v>23</v>
      </c>
      <c r="J37" s="19">
        <v>3</v>
      </c>
      <c r="K37" s="19"/>
      <c r="M37" s="9" t="str">
        <f t="shared" si="22"/>
        <v>CRISTIANO JOSÉ(LSJC)</v>
      </c>
      <c r="N37" s="9" t="str">
        <f t="shared" si="23"/>
        <v>MICA(MZ)</v>
      </c>
      <c r="O37" s="9" t="str">
        <f t="shared" si="24"/>
        <v>MICA(MZ)</v>
      </c>
      <c r="P37" s="9" t="str">
        <f t="shared" si="25"/>
        <v/>
      </c>
      <c r="Q37" s="9" t="str">
        <f t="shared" si="26"/>
        <v/>
      </c>
      <c r="R37" s="9" t="str">
        <f t="shared" si="27"/>
        <v>CRISTIANO JOSÉ(LSJC)</v>
      </c>
      <c r="S37" s="9" t="str">
        <f t="shared" si="28"/>
        <v>CRISTIANO JOSÉ(LSJC)</v>
      </c>
      <c r="T37" s="9">
        <f t="shared" si="29"/>
        <v>0</v>
      </c>
      <c r="U37" s="9" t="str">
        <f t="shared" si="30"/>
        <v>MICA(MZ)</v>
      </c>
      <c r="V37" s="9">
        <f t="shared" si="31"/>
        <v>1</v>
      </c>
      <c r="W37" s="9">
        <f t="shared" si="32"/>
        <v>0</v>
      </c>
    </row>
    <row r="38" spans="1:23" x14ac:dyDescent="0.25">
      <c r="A38" s="8">
        <v>4</v>
      </c>
      <c r="B38" s="9" t="str">
        <f>VLOOKUP($A38, Equipes!$A$3:$B$32, 2, FALSE)</f>
        <v>RODRIGO MORO(SCCP)</v>
      </c>
      <c r="C38" s="18">
        <v>0</v>
      </c>
      <c r="D38" s="10" t="s">
        <v>22</v>
      </c>
      <c r="E38" s="18">
        <v>1</v>
      </c>
      <c r="F38" s="11" t="str">
        <f>VLOOKUP($G38, Equipes!$A$3:$B$32, 2, FALSE)</f>
        <v>PROFESSOR(LSJC)</v>
      </c>
      <c r="G38" s="8">
        <v>2</v>
      </c>
      <c r="H38" s="9">
        <v>5</v>
      </c>
      <c r="I38" s="9" t="s">
        <v>23</v>
      </c>
      <c r="J38" s="9">
        <v>3</v>
      </c>
      <c r="M38" s="9" t="str">
        <f t="shared" si="22"/>
        <v>RODRIGO MORO(SCCP)</v>
      </c>
      <c r="N38" s="9" t="str">
        <f t="shared" si="23"/>
        <v>PROFESSOR(LSJC)</v>
      </c>
      <c r="O38" s="9" t="str">
        <f t="shared" si="24"/>
        <v>PROFESSOR(LSJC)</v>
      </c>
      <c r="P38" s="9" t="str">
        <f t="shared" si="25"/>
        <v/>
      </c>
      <c r="Q38" s="9" t="str">
        <f t="shared" si="26"/>
        <v/>
      </c>
      <c r="R38" s="9" t="str">
        <f t="shared" si="27"/>
        <v>RODRIGO MORO(SCCP)</v>
      </c>
      <c r="S38" s="9" t="str">
        <f t="shared" si="28"/>
        <v>RODRIGO MORO(SCCP)</v>
      </c>
      <c r="T38" s="9">
        <f t="shared" si="29"/>
        <v>0</v>
      </c>
      <c r="U38" s="9" t="str">
        <f t="shared" si="30"/>
        <v>PROFESSOR(LSJC)</v>
      </c>
      <c r="V38" s="9">
        <f t="shared" si="31"/>
        <v>1</v>
      </c>
      <c r="W38" s="9">
        <f t="shared" si="32"/>
        <v>0</v>
      </c>
    </row>
    <row r="39" spans="1:23" x14ac:dyDescent="0.25">
      <c r="A39" s="8">
        <v>7</v>
      </c>
      <c r="B39" s="19" t="str">
        <f>VLOOKUP($A39, Equipes!$A$3:$B$32, 2, FALSE)</f>
        <v>MARCOS WILLOW(SCCP)</v>
      </c>
      <c r="C39" s="18">
        <v>2</v>
      </c>
      <c r="D39" s="20" t="s">
        <v>22</v>
      </c>
      <c r="E39" s="18">
        <v>1</v>
      </c>
      <c r="F39" s="21" t="str">
        <f>VLOOKUP($G39, Equipes!$A$3:$B$32, 2, FALSE)</f>
        <v>MARCÃO SILVA(SPFC)</v>
      </c>
      <c r="G39" s="22">
        <v>12</v>
      </c>
      <c r="H39" s="19">
        <v>16</v>
      </c>
      <c r="I39" s="19" t="s">
        <v>24</v>
      </c>
      <c r="J39" s="19">
        <v>3</v>
      </c>
      <c r="K39" s="19"/>
      <c r="M39" s="9" t="str">
        <f t="shared" si="22"/>
        <v>MARCOS WILLOW(SCCP)</v>
      </c>
      <c r="N39" s="9" t="str">
        <f t="shared" si="23"/>
        <v>MARCÃO SILVA(SPFC)</v>
      </c>
      <c r="O39" s="9" t="str">
        <f t="shared" si="24"/>
        <v>MARCOS WILLOW(SCCP)</v>
      </c>
      <c r="P39" s="9" t="str">
        <f t="shared" si="25"/>
        <v/>
      </c>
      <c r="Q39" s="9" t="str">
        <f t="shared" si="26"/>
        <v/>
      </c>
      <c r="R39" s="9" t="str">
        <f t="shared" si="27"/>
        <v>MARCÃO SILVA(SPFC)</v>
      </c>
      <c r="S39" s="9" t="str">
        <f t="shared" si="28"/>
        <v>MARCOS WILLOW(SCCP)</v>
      </c>
      <c r="T39" s="9">
        <f t="shared" si="29"/>
        <v>2</v>
      </c>
      <c r="U39" s="9" t="str">
        <f t="shared" si="30"/>
        <v>MARCÃO SILVA(SPFC)</v>
      </c>
      <c r="V39" s="9">
        <f t="shared" si="31"/>
        <v>1</v>
      </c>
      <c r="W39" s="9">
        <f t="shared" si="32"/>
        <v>2</v>
      </c>
    </row>
    <row r="40" spans="1:23" x14ac:dyDescent="0.25">
      <c r="A40" s="8">
        <v>11</v>
      </c>
      <c r="B40" s="9" t="str">
        <f>VLOOKUP($A40, Equipes!$A$3:$B$32, 2, FALSE)</f>
        <v>LÉO CARIOCA(MZ)</v>
      </c>
      <c r="C40" s="18">
        <v>1</v>
      </c>
      <c r="D40" s="10" t="s">
        <v>22</v>
      </c>
      <c r="E40" s="18">
        <v>3</v>
      </c>
      <c r="F40" s="11" t="str">
        <f>VLOOKUP($G40, Equipes!$A$3:$B$32, 2, FALSE)</f>
        <v>MARIELCIO(LSJC)</v>
      </c>
      <c r="G40" s="8">
        <v>9</v>
      </c>
      <c r="H40" s="9">
        <v>1</v>
      </c>
      <c r="I40" s="9" t="s">
        <v>24</v>
      </c>
      <c r="J40" s="9">
        <v>3</v>
      </c>
      <c r="M40" s="9" t="str">
        <f t="shared" si="22"/>
        <v>LÉO CARIOCA(MZ)</v>
      </c>
      <c r="N40" s="9" t="str">
        <f t="shared" si="23"/>
        <v>MARIELCIO(LSJC)</v>
      </c>
      <c r="O40" s="9" t="str">
        <f t="shared" si="24"/>
        <v>MARIELCIO(LSJC)</v>
      </c>
      <c r="P40" s="9" t="str">
        <f t="shared" si="25"/>
        <v/>
      </c>
      <c r="Q40" s="9" t="str">
        <f t="shared" si="26"/>
        <v/>
      </c>
      <c r="R40" s="9" t="str">
        <f t="shared" si="27"/>
        <v>LÉO CARIOCA(MZ)</v>
      </c>
      <c r="S40" s="9" t="str">
        <f t="shared" si="28"/>
        <v>LÉO CARIOCA(MZ)</v>
      </c>
      <c r="T40" s="9">
        <f t="shared" si="29"/>
        <v>1</v>
      </c>
      <c r="U40" s="9" t="str">
        <f t="shared" si="30"/>
        <v>MARIELCIO(LSJC)</v>
      </c>
      <c r="V40" s="9">
        <f t="shared" si="31"/>
        <v>3</v>
      </c>
      <c r="W40" s="9">
        <f t="shared" si="32"/>
        <v>1</v>
      </c>
    </row>
    <row r="41" spans="1:23" x14ac:dyDescent="0.25">
      <c r="A41" s="8">
        <v>10</v>
      </c>
      <c r="B41" s="19" t="str">
        <f>VLOOKUP($A41, Equipes!$A$3:$B$32, 2, FALSE)</f>
        <v>TERUEL(SCCP)</v>
      </c>
      <c r="C41" s="18">
        <v>1</v>
      </c>
      <c r="D41" s="20" t="s">
        <v>22</v>
      </c>
      <c r="E41" s="18">
        <v>0</v>
      </c>
      <c r="F41" s="21" t="str">
        <f>VLOOKUP($G41, Equipes!$A$3:$B$32, 2, FALSE)</f>
        <v>MURA(MZ)</v>
      </c>
      <c r="G41" s="22">
        <v>8</v>
      </c>
      <c r="H41" s="19">
        <v>14</v>
      </c>
      <c r="I41" s="19" t="s">
        <v>24</v>
      </c>
      <c r="J41" s="19">
        <v>3</v>
      </c>
      <c r="K41" s="19"/>
      <c r="M41" s="9" t="str">
        <f t="shared" si="22"/>
        <v>TERUEL(SCCP)</v>
      </c>
      <c r="N41" s="9" t="str">
        <f t="shared" si="23"/>
        <v>MURA(MZ)</v>
      </c>
      <c r="O41" s="9" t="str">
        <f t="shared" si="24"/>
        <v>TERUEL(SCCP)</v>
      </c>
      <c r="P41" s="9" t="str">
        <f t="shared" si="25"/>
        <v/>
      </c>
      <c r="Q41" s="9" t="str">
        <f t="shared" si="26"/>
        <v/>
      </c>
      <c r="R41" s="9" t="str">
        <f t="shared" si="27"/>
        <v>MURA(MZ)</v>
      </c>
      <c r="S41" s="9" t="str">
        <f t="shared" si="28"/>
        <v>TERUEL(SCCP)</v>
      </c>
      <c r="T41" s="9">
        <f t="shared" si="29"/>
        <v>1</v>
      </c>
      <c r="U41" s="9" t="str">
        <f t="shared" si="30"/>
        <v>MURA(MZ)</v>
      </c>
      <c r="V41" s="9">
        <f t="shared" si="31"/>
        <v>0</v>
      </c>
      <c r="W41" s="9">
        <f t="shared" si="32"/>
        <v>1</v>
      </c>
    </row>
    <row r="42" spans="1:23" x14ac:dyDescent="0.25">
      <c r="A42" s="8">
        <v>13</v>
      </c>
      <c r="B42" s="9" t="str">
        <f>VLOOKUP($A42, Equipes!$A$3:$B$32, 2, FALSE)</f>
        <v>SALLYS(SCCP)</v>
      </c>
      <c r="C42" s="18">
        <v>0</v>
      </c>
      <c r="D42" s="10" t="s">
        <v>22</v>
      </c>
      <c r="E42" s="18">
        <v>2</v>
      </c>
      <c r="F42" s="11" t="str">
        <f>VLOOKUP($G42, Equipes!$A$3:$B$32, 2, FALSE)</f>
        <v>ELSIO(SPFC)</v>
      </c>
      <c r="G42" s="8">
        <v>18</v>
      </c>
      <c r="H42" s="9">
        <v>15</v>
      </c>
      <c r="I42" s="9" t="s">
        <v>25</v>
      </c>
      <c r="J42" s="9">
        <v>3</v>
      </c>
      <c r="M42" s="9" t="str">
        <f t="shared" si="22"/>
        <v>SALLYS(SCCP)</v>
      </c>
      <c r="N42" s="9" t="str">
        <f t="shared" si="23"/>
        <v>ELSIO(SPFC)</v>
      </c>
      <c r="O42" s="9" t="str">
        <f t="shared" si="24"/>
        <v>ELSIO(SPFC)</v>
      </c>
      <c r="P42" s="9" t="str">
        <f t="shared" si="25"/>
        <v/>
      </c>
      <c r="Q42" s="9" t="str">
        <f t="shared" si="26"/>
        <v/>
      </c>
      <c r="R42" s="9" t="str">
        <f t="shared" si="27"/>
        <v>SALLYS(SCCP)</v>
      </c>
      <c r="S42" s="9" t="str">
        <f t="shared" si="28"/>
        <v>SALLYS(SCCP)</v>
      </c>
      <c r="T42" s="9">
        <f t="shared" si="29"/>
        <v>0</v>
      </c>
      <c r="U42" s="9" t="str">
        <f t="shared" si="30"/>
        <v>ELSIO(SPFC)</v>
      </c>
      <c r="V42" s="9">
        <f t="shared" si="31"/>
        <v>2</v>
      </c>
      <c r="W42" s="9">
        <f t="shared" si="32"/>
        <v>0</v>
      </c>
    </row>
    <row r="43" spans="1:23" x14ac:dyDescent="0.25">
      <c r="A43" s="8">
        <v>17</v>
      </c>
      <c r="B43" s="19" t="str">
        <f>VLOOKUP($A43, Equipes!$A$3:$B$32, 2, FALSE)</f>
        <v>RUAS(2004)</v>
      </c>
      <c r="C43" s="18">
        <v>3</v>
      </c>
      <c r="D43" s="20" t="s">
        <v>22</v>
      </c>
      <c r="E43" s="18">
        <v>1</v>
      </c>
      <c r="F43" s="21" t="str">
        <f>VLOOKUP($G43, Equipes!$A$3:$B$32, 2, FALSE)</f>
        <v>LUIZ MOREIRA(LSJC)</v>
      </c>
      <c r="G43" s="22">
        <v>15</v>
      </c>
      <c r="H43" s="19">
        <v>12</v>
      </c>
      <c r="I43" s="19" t="s">
        <v>25</v>
      </c>
      <c r="J43" s="19">
        <v>3</v>
      </c>
      <c r="K43" s="19"/>
      <c r="M43" s="9" t="str">
        <f t="shared" si="22"/>
        <v>RUAS(2004)</v>
      </c>
      <c r="N43" s="9" t="str">
        <f t="shared" si="23"/>
        <v>LUIZ MOREIRA(LSJC)</v>
      </c>
      <c r="O43" s="9" t="str">
        <f t="shared" si="24"/>
        <v>RUAS(2004)</v>
      </c>
      <c r="P43" s="9" t="str">
        <f t="shared" si="25"/>
        <v/>
      </c>
      <c r="Q43" s="9" t="str">
        <f t="shared" si="26"/>
        <v/>
      </c>
      <c r="R43" s="9" t="str">
        <f t="shared" si="27"/>
        <v>LUIZ MOREIRA(LSJC)</v>
      </c>
      <c r="S43" s="9" t="str">
        <f t="shared" si="28"/>
        <v>RUAS(2004)</v>
      </c>
      <c r="T43" s="9">
        <f t="shared" si="29"/>
        <v>3</v>
      </c>
      <c r="U43" s="9" t="str">
        <f t="shared" si="30"/>
        <v>LUIZ MOREIRA(LSJC)</v>
      </c>
      <c r="V43" s="9">
        <f t="shared" si="31"/>
        <v>1</v>
      </c>
      <c r="W43" s="9">
        <f t="shared" si="32"/>
        <v>3</v>
      </c>
    </row>
    <row r="44" spans="1:23" x14ac:dyDescent="0.25">
      <c r="A44" s="8">
        <v>16</v>
      </c>
      <c r="B44" s="9" t="str">
        <f>VLOOKUP($A44, Equipes!$A$3:$B$32, 2, FALSE)</f>
        <v>VINICIUS ROLIM(SCCP)</v>
      </c>
      <c r="C44" s="18">
        <v>3</v>
      </c>
      <c r="D44" s="10" t="s">
        <v>22</v>
      </c>
      <c r="E44" s="18">
        <v>2</v>
      </c>
      <c r="F44" s="11" t="str">
        <f>VLOOKUP($G44, Equipes!$A$3:$B$32, 2, FALSE)</f>
        <v>ERISMAR(MZ)</v>
      </c>
      <c r="G44" s="8">
        <v>14</v>
      </c>
      <c r="H44" s="9">
        <v>3</v>
      </c>
      <c r="I44" s="9" t="s">
        <v>25</v>
      </c>
      <c r="J44" s="9">
        <v>3</v>
      </c>
      <c r="M44" s="9" t="str">
        <f t="shared" si="22"/>
        <v>VINICIUS ROLIM(SCCP)</v>
      </c>
      <c r="N44" s="9" t="str">
        <f t="shared" si="23"/>
        <v>ERISMAR(MZ)</v>
      </c>
      <c r="O44" s="9" t="str">
        <f t="shared" si="24"/>
        <v>VINICIUS ROLIM(SCCP)</v>
      </c>
      <c r="P44" s="9" t="str">
        <f t="shared" si="25"/>
        <v/>
      </c>
      <c r="Q44" s="9" t="str">
        <f t="shared" si="26"/>
        <v/>
      </c>
      <c r="R44" s="9" t="str">
        <f t="shared" si="27"/>
        <v>ERISMAR(MZ)</v>
      </c>
      <c r="S44" s="9" t="str">
        <f t="shared" si="28"/>
        <v>VINICIUS ROLIM(SCCP)</v>
      </c>
      <c r="T44" s="9">
        <f t="shared" si="29"/>
        <v>3</v>
      </c>
      <c r="U44" s="9" t="str">
        <f t="shared" si="30"/>
        <v>ERISMAR(MZ)</v>
      </c>
      <c r="V44" s="9">
        <f t="shared" si="31"/>
        <v>2</v>
      </c>
      <c r="W44" s="9">
        <f t="shared" si="32"/>
        <v>3</v>
      </c>
    </row>
    <row r="45" spans="1:23" x14ac:dyDescent="0.25">
      <c r="A45" s="8">
        <v>19</v>
      </c>
      <c r="B45" s="19" t="str">
        <f>VLOOKUP($A45, Equipes!$A$3:$B$32, 2, FALSE)</f>
        <v>REGINALDO(SCCP)</v>
      </c>
      <c r="C45" s="18">
        <v>0</v>
      </c>
      <c r="D45" s="20" t="s">
        <v>22</v>
      </c>
      <c r="E45" s="18">
        <v>0</v>
      </c>
      <c r="F45" s="21" t="str">
        <f>VLOOKUP($G45, Equipes!$A$3:$B$32, 2, FALSE)</f>
        <v>ZÉ LUIZ(SPFC)</v>
      </c>
      <c r="G45" s="22">
        <v>24</v>
      </c>
      <c r="H45" s="19">
        <v>4</v>
      </c>
      <c r="I45" s="19" t="s">
        <v>17</v>
      </c>
      <c r="J45" s="19">
        <v>3</v>
      </c>
      <c r="K45" s="19"/>
      <c r="M45" s="9" t="str">
        <f t="shared" si="22"/>
        <v>REGINALDO(SCCP)</v>
      </c>
      <c r="N45" s="9" t="str">
        <f t="shared" si="23"/>
        <v>ZÉ LUIZ(SPFC)</v>
      </c>
      <c r="O45" s="9" t="str">
        <f t="shared" si="24"/>
        <v/>
      </c>
      <c r="P45" s="9" t="str">
        <f t="shared" si="25"/>
        <v>REGINALDO(SCCP)</v>
      </c>
      <c r="Q45" s="9" t="str">
        <f t="shared" si="26"/>
        <v>ZÉ LUIZ(SPFC)</v>
      </c>
      <c r="R45" s="9" t="str">
        <f t="shared" si="27"/>
        <v/>
      </c>
      <c r="S45" s="9" t="str">
        <f t="shared" si="28"/>
        <v>REGINALDO(SCCP)</v>
      </c>
      <c r="T45" s="9">
        <f t="shared" si="29"/>
        <v>0</v>
      </c>
      <c r="U45" s="9" t="str">
        <f t="shared" si="30"/>
        <v>ZÉ LUIZ(SPFC)</v>
      </c>
      <c r="V45" s="9">
        <f t="shared" si="31"/>
        <v>0</v>
      </c>
      <c r="W45" s="9">
        <f t="shared" si="32"/>
        <v>0</v>
      </c>
    </row>
    <row r="46" spans="1:23" x14ac:dyDescent="0.25">
      <c r="A46" s="8">
        <v>23</v>
      </c>
      <c r="B46" s="9" t="str">
        <f>VLOOKUP($A46, Equipes!$A$3:$B$32, 2, FALSE)</f>
        <v>PEPE 2004(2004)</v>
      </c>
      <c r="C46" s="18">
        <v>0</v>
      </c>
      <c r="D46" s="10" t="s">
        <v>22</v>
      </c>
      <c r="E46" s="18">
        <v>1</v>
      </c>
      <c r="F46" s="11" t="str">
        <f>VLOOKUP($G46, Equipes!$A$3:$B$32, 2, FALSE)</f>
        <v>TUPINAMBÁ(LSJC)</v>
      </c>
      <c r="G46" s="8">
        <v>21</v>
      </c>
      <c r="H46" s="9">
        <v>6</v>
      </c>
      <c r="I46" s="9" t="s">
        <v>17</v>
      </c>
      <c r="J46" s="9">
        <v>3</v>
      </c>
      <c r="M46" s="9" t="str">
        <f t="shared" si="22"/>
        <v>PEPE 2004(2004)</v>
      </c>
      <c r="N46" s="9" t="str">
        <f t="shared" si="23"/>
        <v>TUPINAMBÁ(LSJC)</v>
      </c>
      <c r="O46" s="9" t="str">
        <f t="shared" si="24"/>
        <v>TUPINAMBÁ(LSJC)</v>
      </c>
      <c r="P46" s="9" t="str">
        <f t="shared" si="25"/>
        <v/>
      </c>
      <c r="Q46" s="9" t="str">
        <f t="shared" si="26"/>
        <v/>
      </c>
      <c r="R46" s="9" t="str">
        <f t="shared" si="27"/>
        <v>PEPE 2004(2004)</v>
      </c>
      <c r="S46" s="9" t="str">
        <f t="shared" si="28"/>
        <v>PEPE 2004(2004)</v>
      </c>
      <c r="T46" s="9">
        <f t="shared" si="29"/>
        <v>0</v>
      </c>
      <c r="U46" s="9" t="str">
        <f t="shared" si="30"/>
        <v>TUPINAMBÁ(LSJC)</v>
      </c>
      <c r="V46" s="9">
        <f t="shared" si="31"/>
        <v>1</v>
      </c>
      <c r="W46" s="9">
        <f t="shared" si="32"/>
        <v>0</v>
      </c>
    </row>
    <row r="47" spans="1:23" x14ac:dyDescent="0.25">
      <c r="A47" s="8">
        <v>22</v>
      </c>
      <c r="B47" s="19" t="str">
        <f>VLOOKUP($A47, Equipes!$A$3:$B$32, 2, FALSE)</f>
        <v>GALDEANO(SCCP)</v>
      </c>
      <c r="C47" s="18">
        <v>3</v>
      </c>
      <c r="D47" s="20" t="s">
        <v>22</v>
      </c>
      <c r="E47" s="18">
        <v>1</v>
      </c>
      <c r="F47" s="21" t="str">
        <f>VLOOKUP($G47, Equipes!$A$3:$B$32, 2, FALSE)</f>
        <v>LUIZ COELHO(MZ)</v>
      </c>
      <c r="G47" s="22">
        <v>20</v>
      </c>
      <c r="H47" s="19">
        <v>9</v>
      </c>
      <c r="I47" s="19" t="s">
        <v>17</v>
      </c>
      <c r="J47" s="19">
        <v>3</v>
      </c>
      <c r="K47" s="19"/>
      <c r="M47" s="9" t="str">
        <f t="shared" si="22"/>
        <v>GALDEANO(SCCP)</v>
      </c>
      <c r="N47" s="9" t="str">
        <f t="shared" si="23"/>
        <v>LUIZ COELHO(MZ)</v>
      </c>
      <c r="O47" s="9" t="str">
        <f t="shared" si="24"/>
        <v>GALDEANO(SCCP)</v>
      </c>
      <c r="P47" s="9" t="str">
        <f t="shared" si="25"/>
        <v/>
      </c>
      <c r="Q47" s="9" t="str">
        <f t="shared" si="26"/>
        <v/>
      </c>
      <c r="R47" s="9" t="str">
        <f t="shared" si="27"/>
        <v>LUIZ COELHO(MZ)</v>
      </c>
      <c r="S47" s="9" t="str">
        <f t="shared" si="28"/>
        <v>GALDEANO(SCCP)</v>
      </c>
      <c r="T47" s="9">
        <f t="shared" si="29"/>
        <v>3</v>
      </c>
      <c r="U47" s="9" t="str">
        <f t="shared" si="30"/>
        <v>LUIZ COELHO(MZ)</v>
      </c>
      <c r="V47" s="9">
        <f t="shared" si="31"/>
        <v>1</v>
      </c>
      <c r="W47" s="9">
        <f t="shared" si="32"/>
        <v>3</v>
      </c>
    </row>
    <row r="48" spans="1:23" x14ac:dyDescent="0.25">
      <c r="A48" s="8">
        <v>25</v>
      </c>
      <c r="B48" s="9" t="str">
        <f>VLOOKUP($A48, Equipes!$A$3:$B$32, 2, FALSE)</f>
        <v>ANDRÉ COELHO(SCCP)</v>
      </c>
      <c r="C48" s="18">
        <v>2</v>
      </c>
      <c r="D48" s="10" t="s">
        <v>22</v>
      </c>
      <c r="E48" s="18">
        <v>3</v>
      </c>
      <c r="F48" s="11" t="str">
        <f>VLOOKUP($G48, Equipes!$A$3:$B$32, 2, FALSE)</f>
        <v>NORBERTO(7/9)</v>
      </c>
      <c r="G48" s="8">
        <v>30</v>
      </c>
      <c r="H48" s="9">
        <v>7</v>
      </c>
      <c r="I48" s="9" t="s">
        <v>16</v>
      </c>
      <c r="J48" s="9">
        <v>3</v>
      </c>
      <c r="M48" s="9" t="str">
        <f t="shared" si="22"/>
        <v>ANDRÉ COELHO(SCCP)</v>
      </c>
      <c r="N48" s="9" t="str">
        <f t="shared" si="23"/>
        <v>NORBERTO(7/9)</v>
      </c>
      <c r="O48" s="9" t="str">
        <f t="shared" si="24"/>
        <v>NORBERTO(7/9)</v>
      </c>
      <c r="P48" s="9" t="str">
        <f t="shared" si="25"/>
        <v/>
      </c>
      <c r="Q48" s="9" t="str">
        <f t="shared" si="26"/>
        <v/>
      </c>
      <c r="R48" s="9" t="str">
        <f t="shared" si="27"/>
        <v>ANDRÉ COELHO(SCCP)</v>
      </c>
      <c r="S48" s="9" t="str">
        <f t="shared" si="28"/>
        <v>ANDRÉ COELHO(SCCP)</v>
      </c>
      <c r="T48" s="9">
        <f t="shared" si="29"/>
        <v>2</v>
      </c>
      <c r="U48" s="9" t="str">
        <f t="shared" si="30"/>
        <v>NORBERTO(7/9)</v>
      </c>
      <c r="V48" s="9">
        <f t="shared" si="31"/>
        <v>3</v>
      </c>
      <c r="W48" s="9">
        <f t="shared" si="32"/>
        <v>2</v>
      </c>
    </row>
    <row r="49" spans="1:23" x14ac:dyDescent="0.25">
      <c r="A49" s="8">
        <v>29</v>
      </c>
      <c r="B49" s="19" t="str">
        <f>VLOOKUP($A49, Equipes!$A$3:$B$32, 2, FALSE)</f>
        <v>DJ IURY(LSJC)</v>
      </c>
      <c r="C49" s="18">
        <v>1</v>
      </c>
      <c r="D49" s="20" t="s">
        <v>22</v>
      </c>
      <c r="E49" s="18">
        <v>5</v>
      </c>
      <c r="F49" s="21" t="str">
        <f>VLOOKUP($G49, Equipes!$A$3:$B$32, 2, FALSE)</f>
        <v>JEFFERSON TABAJARA(2004)</v>
      </c>
      <c r="G49" s="22">
        <v>27</v>
      </c>
      <c r="H49" s="19">
        <v>8</v>
      </c>
      <c r="I49" s="19" t="s">
        <v>16</v>
      </c>
      <c r="J49" s="19">
        <v>3</v>
      </c>
      <c r="K49" s="19"/>
      <c r="M49" s="9" t="str">
        <f t="shared" si="22"/>
        <v>DJ IURY(LSJC)</v>
      </c>
      <c r="N49" s="9" t="str">
        <f t="shared" si="23"/>
        <v>JEFFERSON TABAJARA(2004)</v>
      </c>
      <c r="O49" s="9" t="str">
        <f t="shared" si="24"/>
        <v>JEFFERSON TABAJARA(2004)</v>
      </c>
      <c r="P49" s="9" t="str">
        <f t="shared" si="25"/>
        <v/>
      </c>
      <c r="Q49" s="9" t="str">
        <f t="shared" si="26"/>
        <v/>
      </c>
      <c r="R49" s="9" t="str">
        <f t="shared" si="27"/>
        <v>DJ IURY(LSJC)</v>
      </c>
      <c r="S49" s="9" t="str">
        <f t="shared" si="28"/>
        <v>DJ IURY(LSJC)</v>
      </c>
      <c r="T49" s="9">
        <f t="shared" si="29"/>
        <v>1</v>
      </c>
      <c r="U49" s="9" t="str">
        <f t="shared" si="30"/>
        <v>JEFFERSON TABAJARA(2004)</v>
      </c>
      <c r="V49" s="9">
        <f t="shared" si="31"/>
        <v>5</v>
      </c>
      <c r="W49" s="9">
        <f t="shared" si="32"/>
        <v>1</v>
      </c>
    </row>
    <row r="50" spans="1:23" x14ac:dyDescent="0.25">
      <c r="A50" s="8">
        <v>28</v>
      </c>
      <c r="B50" s="9" t="str">
        <f>VLOOKUP($A50, Equipes!$A$3:$B$32, 2, FALSE)</f>
        <v>CORTEZ (MZ)</v>
      </c>
      <c r="C50" s="18">
        <v>0</v>
      </c>
      <c r="D50" s="10" t="s">
        <v>22</v>
      </c>
      <c r="E50" s="18">
        <v>0</v>
      </c>
      <c r="F50" s="11" t="str">
        <f>VLOOKUP($G50, Equipes!$A$3:$B$32, 2, FALSE)</f>
        <v>RAFAEL BALIEIRO(LSJC)</v>
      </c>
      <c r="G50" s="8">
        <v>26</v>
      </c>
      <c r="H50" s="9">
        <v>11</v>
      </c>
      <c r="I50" s="9" t="s">
        <v>16</v>
      </c>
      <c r="J50" s="9">
        <v>3</v>
      </c>
      <c r="M50" s="9" t="str">
        <f t="shared" si="22"/>
        <v>CORTEZ (MZ)</v>
      </c>
      <c r="N50" s="9" t="str">
        <f t="shared" si="23"/>
        <v>RAFAEL BALIEIRO(LSJC)</v>
      </c>
      <c r="O50" s="9" t="str">
        <f t="shared" si="24"/>
        <v/>
      </c>
      <c r="P50" s="9" t="str">
        <f t="shared" si="25"/>
        <v>CORTEZ (MZ)</v>
      </c>
      <c r="Q50" s="9" t="str">
        <f t="shared" si="26"/>
        <v>RAFAEL BALIEIRO(LSJC)</v>
      </c>
      <c r="R50" s="9" t="str">
        <f t="shared" si="27"/>
        <v/>
      </c>
      <c r="S50" s="9" t="str">
        <f t="shared" si="28"/>
        <v>CORTEZ (MZ)</v>
      </c>
      <c r="T50" s="9">
        <f t="shared" si="29"/>
        <v>0</v>
      </c>
      <c r="U50" s="9" t="str">
        <f t="shared" si="30"/>
        <v>RAFAEL BALIEIRO(LSJC)</v>
      </c>
      <c r="V50" s="9">
        <f t="shared" si="31"/>
        <v>0</v>
      </c>
      <c r="W50" s="9">
        <f t="shared" si="32"/>
        <v>0</v>
      </c>
    </row>
    <row r="51" spans="1:23" x14ac:dyDescent="0.25">
      <c r="B51" s="13" t="s">
        <v>28</v>
      </c>
      <c r="C51" s="14"/>
      <c r="D51" s="14"/>
      <c r="E51" s="14"/>
      <c r="F51" s="15"/>
      <c r="G51" s="16"/>
      <c r="H51" s="13" t="s">
        <v>11</v>
      </c>
      <c r="I51" s="13" t="s">
        <v>12</v>
      </c>
      <c r="J51" s="13" t="s">
        <v>13</v>
      </c>
      <c r="K51" s="17">
        <f>K3 + TIME(0,60,0)</f>
        <v>44969.520833333328</v>
      </c>
      <c r="M51" s="12" t="s">
        <v>14</v>
      </c>
      <c r="N51" s="12" t="s">
        <v>14</v>
      </c>
      <c r="O51" s="12" t="s">
        <v>15</v>
      </c>
      <c r="P51" s="12" t="s">
        <v>16</v>
      </c>
      <c r="Q51" s="12" t="s">
        <v>16</v>
      </c>
      <c r="R51" s="12" t="s">
        <v>17</v>
      </c>
      <c r="S51" s="12" t="s">
        <v>18</v>
      </c>
      <c r="T51" s="12" t="s">
        <v>19</v>
      </c>
      <c r="U51" s="12" t="s">
        <v>15</v>
      </c>
      <c r="V51" s="12" t="s">
        <v>20</v>
      </c>
      <c r="W51" s="12" t="s">
        <v>21</v>
      </c>
    </row>
    <row r="52" spans="1:23" x14ac:dyDescent="0.25">
      <c r="A52" s="8">
        <v>1</v>
      </c>
      <c r="B52" s="9" t="str">
        <f>VLOOKUP($A52, Equipes!$A$3:$B$32, 2, FALSE)</f>
        <v>PABLO MARTINS(SCCP)</v>
      </c>
      <c r="C52" s="18">
        <v>1</v>
      </c>
      <c r="D52" s="10" t="s">
        <v>22</v>
      </c>
      <c r="E52" s="18">
        <v>1</v>
      </c>
      <c r="F52" s="11" t="str">
        <f>VLOOKUP($G52, Equipes!$A$3:$B$32, 2, FALSE)</f>
        <v>MICA(MZ)</v>
      </c>
      <c r="G52" s="8">
        <v>3</v>
      </c>
      <c r="H52" s="9">
        <v>4</v>
      </c>
      <c r="I52" s="9" t="s">
        <v>23</v>
      </c>
      <c r="J52" s="9">
        <v>4</v>
      </c>
      <c r="M52" s="9" t="str">
        <f t="shared" ref="M52:M66" si="33">IF(OR(C52 = "",E52 = ""), "", B52)</f>
        <v>PABLO MARTINS(SCCP)</v>
      </c>
      <c r="N52" s="9" t="str">
        <f t="shared" ref="N52:N66" si="34">IF(OR(C52 = "",E52 = ""), "", F52)</f>
        <v>MICA(MZ)</v>
      </c>
      <c r="O52" s="9" t="str">
        <f t="shared" ref="O52:O66" si="35">IF(C52&gt;E52,B52, IF(E52&gt;C52,F52, ""))</f>
        <v/>
      </c>
      <c r="P52" s="9" t="str">
        <f t="shared" ref="P52:P66" si="36">IF(OR(C52 = "",E52 = ""), "", IF(C52=E52,B52, ""))</f>
        <v>PABLO MARTINS(SCCP)</v>
      </c>
      <c r="Q52" s="9" t="str">
        <f t="shared" ref="Q52:Q66" si="37">IF(OR(C52 = "",E52 = ""), "", IF(C52=E52,F52, ""))</f>
        <v>MICA(MZ)</v>
      </c>
      <c r="R52" s="9" t="str">
        <f t="shared" ref="R52:R66" si="38">IF(C52&gt;E52,F52, IF(E52&gt;C52,B52, ""))</f>
        <v/>
      </c>
      <c r="S52" s="9" t="str">
        <f t="shared" ref="S52:S66" si="39">IF(OR(C52 = "",E52 = ""), "", B52)</f>
        <v>PABLO MARTINS(SCCP)</v>
      </c>
      <c r="T52" s="9">
        <f t="shared" ref="T52:T66" si="40">IF(C52 = "", "", C52)</f>
        <v>1</v>
      </c>
      <c r="U52" s="9" t="str">
        <f t="shared" ref="U52:U66" si="41">IF(OR(C52 = "",E52 = ""), "", F52)</f>
        <v>MICA(MZ)</v>
      </c>
      <c r="V52" s="9">
        <f t="shared" ref="V52:V66" si="42">IF(E52 = "", "", E52)</f>
        <v>1</v>
      </c>
      <c r="W52" s="9">
        <f t="shared" ref="W52:W66" si="43">IF(C52 = "", "", C52)</f>
        <v>1</v>
      </c>
    </row>
    <row r="53" spans="1:23" x14ac:dyDescent="0.25">
      <c r="A53" s="8">
        <v>6</v>
      </c>
      <c r="B53" s="19" t="str">
        <f>VLOOKUP($A53, Equipes!$A$3:$B$32, 2, FALSE)</f>
        <v>DIOGO(2004)</v>
      </c>
      <c r="C53" s="18">
        <v>2</v>
      </c>
      <c r="D53" s="20" t="s">
        <v>22</v>
      </c>
      <c r="E53" s="18">
        <v>2</v>
      </c>
      <c r="F53" s="21" t="str">
        <f>VLOOKUP($G53, Equipes!$A$3:$B$32, 2, FALSE)</f>
        <v>PROFESSOR(LSJC)</v>
      </c>
      <c r="G53" s="22">
        <v>2</v>
      </c>
      <c r="H53" s="19">
        <v>12</v>
      </c>
      <c r="I53" s="19" t="s">
        <v>23</v>
      </c>
      <c r="J53" s="19">
        <v>4</v>
      </c>
      <c r="K53" s="19"/>
      <c r="M53" s="9" t="str">
        <f t="shared" si="33"/>
        <v>DIOGO(2004)</v>
      </c>
      <c r="N53" s="9" t="str">
        <f t="shared" si="34"/>
        <v>PROFESSOR(LSJC)</v>
      </c>
      <c r="O53" s="9" t="str">
        <f t="shared" si="35"/>
        <v/>
      </c>
      <c r="P53" s="9" t="str">
        <f t="shared" si="36"/>
        <v>DIOGO(2004)</v>
      </c>
      <c r="Q53" s="9" t="str">
        <f t="shared" si="37"/>
        <v>PROFESSOR(LSJC)</v>
      </c>
      <c r="R53" s="9" t="str">
        <f t="shared" si="38"/>
        <v/>
      </c>
      <c r="S53" s="9" t="str">
        <f t="shared" si="39"/>
        <v>DIOGO(2004)</v>
      </c>
      <c r="T53" s="9">
        <f t="shared" si="40"/>
        <v>2</v>
      </c>
      <c r="U53" s="9" t="str">
        <f t="shared" si="41"/>
        <v>PROFESSOR(LSJC)</v>
      </c>
      <c r="V53" s="9">
        <f t="shared" si="42"/>
        <v>2</v>
      </c>
      <c r="W53" s="9">
        <f t="shared" si="43"/>
        <v>2</v>
      </c>
    </row>
    <row r="54" spans="1:23" x14ac:dyDescent="0.25">
      <c r="A54" s="8">
        <v>5</v>
      </c>
      <c r="B54" s="9" t="str">
        <f>VLOOKUP($A54, Equipes!$A$3:$B$32, 2, FALSE)</f>
        <v>CRISTIANO JOSÉ(LSJC)</v>
      </c>
      <c r="C54" s="18">
        <v>1</v>
      </c>
      <c r="D54" s="10" t="s">
        <v>22</v>
      </c>
      <c r="E54" s="18">
        <v>0</v>
      </c>
      <c r="F54" s="11" t="str">
        <f>VLOOKUP($G54, Equipes!$A$3:$B$32, 2, FALSE)</f>
        <v>RODRIGO MORO(SCCP)</v>
      </c>
      <c r="G54" s="8">
        <v>4</v>
      </c>
      <c r="H54" s="9">
        <v>6</v>
      </c>
      <c r="I54" s="9" t="s">
        <v>23</v>
      </c>
      <c r="J54" s="9">
        <v>4</v>
      </c>
      <c r="M54" s="9" t="str">
        <f t="shared" si="33"/>
        <v>CRISTIANO JOSÉ(LSJC)</v>
      </c>
      <c r="N54" s="9" t="str">
        <f t="shared" si="34"/>
        <v>RODRIGO MORO(SCCP)</v>
      </c>
      <c r="O54" s="9" t="str">
        <f t="shared" si="35"/>
        <v>CRISTIANO JOSÉ(LSJC)</v>
      </c>
      <c r="P54" s="9" t="str">
        <f t="shared" si="36"/>
        <v/>
      </c>
      <c r="Q54" s="9" t="str">
        <f t="shared" si="37"/>
        <v/>
      </c>
      <c r="R54" s="9" t="str">
        <f t="shared" si="38"/>
        <v>RODRIGO MORO(SCCP)</v>
      </c>
      <c r="S54" s="9" t="str">
        <f t="shared" si="39"/>
        <v>CRISTIANO JOSÉ(LSJC)</v>
      </c>
      <c r="T54" s="9">
        <f t="shared" si="40"/>
        <v>1</v>
      </c>
      <c r="U54" s="9" t="str">
        <f t="shared" si="41"/>
        <v>RODRIGO MORO(SCCP)</v>
      </c>
      <c r="V54" s="9">
        <f t="shared" si="42"/>
        <v>0</v>
      </c>
      <c r="W54" s="9">
        <f t="shared" si="43"/>
        <v>1</v>
      </c>
    </row>
    <row r="55" spans="1:23" x14ac:dyDescent="0.25">
      <c r="A55" s="8">
        <v>7</v>
      </c>
      <c r="B55" s="19" t="str">
        <f>VLOOKUP($A55, Equipes!$A$3:$B$32, 2, FALSE)</f>
        <v>MARCOS WILLOW(SCCP)</v>
      </c>
      <c r="C55" s="18">
        <v>2</v>
      </c>
      <c r="D55" s="20" t="s">
        <v>22</v>
      </c>
      <c r="E55" s="18">
        <v>2</v>
      </c>
      <c r="F55" s="21" t="str">
        <f>VLOOKUP($G55, Equipes!$A$3:$B$32, 2, FALSE)</f>
        <v>MARIELCIO(LSJC)</v>
      </c>
      <c r="G55" s="22">
        <v>9</v>
      </c>
      <c r="H55" s="19">
        <v>10</v>
      </c>
      <c r="I55" s="19" t="s">
        <v>24</v>
      </c>
      <c r="J55" s="19">
        <v>4</v>
      </c>
      <c r="K55" s="19"/>
      <c r="M55" s="9" t="str">
        <f t="shared" si="33"/>
        <v>MARCOS WILLOW(SCCP)</v>
      </c>
      <c r="N55" s="9" t="str">
        <f t="shared" si="34"/>
        <v>MARIELCIO(LSJC)</v>
      </c>
      <c r="O55" s="9" t="str">
        <f t="shared" si="35"/>
        <v/>
      </c>
      <c r="P55" s="9" t="str">
        <f t="shared" si="36"/>
        <v>MARCOS WILLOW(SCCP)</v>
      </c>
      <c r="Q55" s="9" t="str">
        <f t="shared" si="37"/>
        <v>MARIELCIO(LSJC)</v>
      </c>
      <c r="R55" s="9" t="str">
        <f t="shared" si="38"/>
        <v/>
      </c>
      <c r="S55" s="9" t="str">
        <f t="shared" si="39"/>
        <v>MARCOS WILLOW(SCCP)</v>
      </c>
      <c r="T55" s="9">
        <f t="shared" si="40"/>
        <v>2</v>
      </c>
      <c r="U55" s="9" t="str">
        <f t="shared" si="41"/>
        <v>MARIELCIO(LSJC)</v>
      </c>
      <c r="V55" s="9">
        <f t="shared" si="42"/>
        <v>2</v>
      </c>
      <c r="W55" s="9">
        <f t="shared" si="43"/>
        <v>2</v>
      </c>
    </row>
    <row r="56" spans="1:23" x14ac:dyDescent="0.25">
      <c r="A56" s="8">
        <v>12</v>
      </c>
      <c r="B56" s="9" t="str">
        <f>VLOOKUP($A56, Equipes!$A$3:$B$32, 2, FALSE)</f>
        <v>MARCÃO SILVA(SPFC)</v>
      </c>
      <c r="C56" s="18">
        <v>2</v>
      </c>
      <c r="D56" s="10" t="s">
        <v>22</v>
      </c>
      <c r="E56" s="18">
        <v>1</v>
      </c>
      <c r="F56" s="11" t="str">
        <f>VLOOKUP($G56, Equipes!$A$3:$B$32, 2, FALSE)</f>
        <v>MURA(MZ)</v>
      </c>
      <c r="G56" s="8">
        <v>8</v>
      </c>
      <c r="H56" s="9">
        <v>14</v>
      </c>
      <c r="I56" s="9" t="s">
        <v>24</v>
      </c>
      <c r="J56" s="9">
        <v>4</v>
      </c>
      <c r="M56" s="9" t="str">
        <f t="shared" si="33"/>
        <v>MARCÃO SILVA(SPFC)</v>
      </c>
      <c r="N56" s="9" t="str">
        <f t="shared" si="34"/>
        <v>MURA(MZ)</v>
      </c>
      <c r="O56" s="9" t="str">
        <f t="shared" si="35"/>
        <v>MARCÃO SILVA(SPFC)</v>
      </c>
      <c r="P56" s="9" t="str">
        <f t="shared" si="36"/>
        <v/>
      </c>
      <c r="Q56" s="9" t="str">
        <f t="shared" si="37"/>
        <v/>
      </c>
      <c r="R56" s="9" t="str">
        <f t="shared" si="38"/>
        <v>MURA(MZ)</v>
      </c>
      <c r="S56" s="9" t="str">
        <f t="shared" si="39"/>
        <v>MARCÃO SILVA(SPFC)</v>
      </c>
      <c r="T56" s="9">
        <f t="shared" si="40"/>
        <v>2</v>
      </c>
      <c r="U56" s="9" t="str">
        <f t="shared" si="41"/>
        <v>MURA(MZ)</v>
      </c>
      <c r="V56" s="9">
        <f t="shared" si="42"/>
        <v>1</v>
      </c>
      <c r="W56" s="9">
        <f t="shared" si="43"/>
        <v>2</v>
      </c>
    </row>
    <row r="57" spans="1:23" x14ac:dyDescent="0.25">
      <c r="A57" s="8">
        <v>11</v>
      </c>
      <c r="B57" s="19" t="str">
        <f>VLOOKUP($A57, Equipes!$A$3:$B$32, 2, FALSE)</f>
        <v>LÉO CARIOCA(MZ)</v>
      </c>
      <c r="C57" s="18">
        <v>0</v>
      </c>
      <c r="D57" s="20" t="s">
        <v>22</v>
      </c>
      <c r="E57" s="18">
        <v>1</v>
      </c>
      <c r="F57" s="21" t="str">
        <f>VLOOKUP($G57, Equipes!$A$3:$B$32, 2, FALSE)</f>
        <v>TERUEL(SCCP)</v>
      </c>
      <c r="G57" s="22">
        <v>10</v>
      </c>
      <c r="H57" s="19">
        <v>7</v>
      </c>
      <c r="I57" s="19" t="s">
        <v>24</v>
      </c>
      <c r="J57" s="19">
        <v>4</v>
      </c>
      <c r="K57" s="19"/>
      <c r="M57" s="9" t="str">
        <f t="shared" si="33"/>
        <v>LÉO CARIOCA(MZ)</v>
      </c>
      <c r="N57" s="9" t="str">
        <f t="shared" si="34"/>
        <v>TERUEL(SCCP)</v>
      </c>
      <c r="O57" s="9" t="str">
        <f t="shared" si="35"/>
        <v>TERUEL(SCCP)</v>
      </c>
      <c r="P57" s="9" t="str">
        <f t="shared" si="36"/>
        <v/>
      </c>
      <c r="Q57" s="9" t="str">
        <f t="shared" si="37"/>
        <v/>
      </c>
      <c r="R57" s="9" t="str">
        <f t="shared" si="38"/>
        <v>LÉO CARIOCA(MZ)</v>
      </c>
      <c r="S57" s="9" t="str">
        <f t="shared" si="39"/>
        <v>LÉO CARIOCA(MZ)</v>
      </c>
      <c r="T57" s="9">
        <f t="shared" si="40"/>
        <v>0</v>
      </c>
      <c r="U57" s="9" t="str">
        <f t="shared" si="41"/>
        <v>TERUEL(SCCP)</v>
      </c>
      <c r="V57" s="9">
        <f t="shared" si="42"/>
        <v>1</v>
      </c>
      <c r="W57" s="9">
        <f t="shared" si="43"/>
        <v>0</v>
      </c>
    </row>
    <row r="58" spans="1:23" x14ac:dyDescent="0.25">
      <c r="A58" s="8">
        <v>13</v>
      </c>
      <c r="B58" s="9" t="str">
        <f>VLOOKUP($A58, Equipes!$A$3:$B$32, 2, FALSE)</f>
        <v>SALLYS(SCCP)</v>
      </c>
      <c r="C58" s="18">
        <v>3</v>
      </c>
      <c r="D58" s="10" t="s">
        <v>22</v>
      </c>
      <c r="E58" s="18">
        <v>2</v>
      </c>
      <c r="F58" s="11" t="str">
        <f>VLOOKUP($G58, Equipes!$A$3:$B$32, 2, FALSE)</f>
        <v>LUIZ MOREIRA(LSJC)</v>
      </c>
      <c r="G58" s="8">
        <v>15</v>
      </c>
      <c r="H58" s="9">
        <v>1</v>
      </c>
      <c r="I58" s="9" t="s">
        <v>25</v>
      </c>
      <c r="J58" s="9">
        <v>4</v>
      </c>
      <c r="M58" s="9" t="str">
        <f t="shared" si="33"/>
        <v>SALLYS(SCCP)</v>
      </c>
      <c r="N58" s="9" t="str">
        <f t="shared" si="34"/>
        <v>LUIZ MOREIRA(LSJC)</v>
      </c>
      <c r="O58" s="9" t="str">
        <f t="shared" si="35"/>
        <v>SALLYS(SCCP)</v>
      </c>
      <c r="P58" s="9" t="str">
        <f t="shared" si="36"/>
        <v/>
      </c>
      <c r="Q58" s="9" t="str">
        <f t="shared" si="37"/>
        <v/>
      </c>
      <c r="R58" s="9" t="str">
        <f t="shared" si="38"/>
        <v>LUIZ MOREIRA(LSJC)</v>
      </c>
      <c r="S58" s="9" t="str">
        <f t="shared" si="39"/>
        <v>SALLYS(SCCP)</v>
      </c>
      <c r="T58" s="9">
        <f t="shared" si="40"/>
        <v>3</v>
      </c>
      <c r="U58" s="9" t="str">
        <f t="shared" si="41"/>
        <v>LUIZ MOREIRA(LSJC)</v>
      </c>
      <c r="V58" s="9">
        <f t="shared" si="42"/>
        <v>2</v>
      </c>
      <c r="W58" s="9">
        <f t="shared" si="43"/>
        <v>3</v>
      </c>
    </row>
    <row r="59" spans="1:23" x14ac:dyDescent="0.25">
      <c r="A59" s="8">
        <v>18</v>
      </c>
      <c r="B59" s="19" t="str">
        <f>VLOOKUP($A59, Equipes!$A$3:$B$32, 2, FALSE)</f>
        <v>ELSIO(SPFC)</v>
      </c>
      <c r="C59" s="18">
        <v>1</v>
      </c>
      <c r="D59" s="20" t="s">
        <v>22</v>
      </c>
      <c r="E59" s="18">
        <v>3</v>
      </c>
      <c r="F59" s="21" t="str">
        <f>VLOOKUP($G59, Equipes!$A$3:$B$32, 2, FALSE)</f>
        <v>ERISMAR(MZ)</v>
      </c>
      <c r="G59" s="22">
        <v>14</v>
      </c>
      <c r="H59" s="19">
        <v>5</v>
      </c>
      <c r="I59" s="19" t="s">
        <v>25</v>
      </c>
      <c r="J59" s="19">
        <v>4</v>
      </c>
      <c r="K59" s="19"/>
      <c r="M59" s="9" t="str">
        <f t="shared" si="33"/>
        <v>ELSIO(SPFC)</v>
      </c>
      <c r="N59" s="9" t="str">
        <f t="shared" si="34"/>
        <v>ERISMAR(MZ)</v>
      </c>
      <c r="O59" s="9" t="str">
        <f t="shared" si="35"/>
        <v>ERISMAR(MZ)</v>
      </c>
      <c r="P59" s="9" t="str">
        <f t="shared" si="36"/>
        <v/>
      </c>
      <c r="Q59" s="9" t="str">
        <f t="shared" si="37"/>
        <v/>
      </c>
      <c r="R59" s="9" t="str">
        <f t="shared" si="38"/>
        <v>ELSIO(SPFC)</v>
      </c>
      <c r="S59" s="9" t="str">
        <f t="shared" si="39"/>
        <v>ELSIO(SPFC)</v>
      </c>
      <c r="T59" s="9">
        <f t="shared" si="40"/>
        <v>1</v>
      </c>
      <c r="U59" s="9" t="str">
        <f t="shared" si="41"/>
        <v>ERISMAR(MZ)</v>
      </c>
      <c r="V59" s="9">
        <f t="shared" si="42"/>
        <v>3</v>
      </c>
      <c r="W59" s="9">
        <f t="shared" si="43"/>
        <v>1</v>
      </c>
    </row>
    <row r="60" spans="1:23" x14ac:dyDescent="0.25">
      <c r="A60" s="8">
        <v>17</v>
      </c>
      <c r="B60" s="9" t="str">
        <f>VLOOKUP($A60, Equipes!$A$3:$B$32, 2, FALSE)</f>
        <v>RUAS(2004)</v>
      </c>
      <c r="C60" s="18">
        <v>2</v>
      </c>
      <c r="D60" s="10" t="s">
        <v>22</v>
      </c>
      <c r="E60" s="18">
        <v>1</v>
      </c>
      <c r="F60" s="11" t="str">
        <f>VLOOKUP($G60, Equipes!$A$3:$B$32, 2, FALSE)</f>
        <v>VINICIUS ROLIM(SCCP)</v>
      </c>
      <c r="G60" s="8">
        <v>16</v>
      </c>
      <c r="H60" s="9">
        <v>11</v>
      </c>
      <c r="I60" s="9" t="s">
        <v>25</v>
      </c>
      <c r="J60" s="9">
        <v>4</v>
      </c>
      <c r="M60" s="9" t="str">
        <f t="shared" si="33"/>
        <v>RUAS(2004)</v>
      </c>
      <c r="N60" s="9" t="str">
        <f t="shared" si="34"/>
        <v>VINICIUS ROLIM(SCCP)</v>
      </c>
      <c r="O60" s="9" t="str">
        <f t="shared" si="35"/>
        <v>RUAS(2004)</v>
      </c>
      <c r="P60" s="9" t="str">
        <f t="shared" si="36"/>
        <v/>
      </c>
      <c r="Q60" s="9" t="str">
        <f t="shared" si="37"/>
        <v/>
      </c>
      <c r="R60" s="9" t="str">
        <f t="shared" si="38"/>
        <v>VINICIUS ROLIM(SCCP)</v>
      </c>
      <c r="S60" s="9" t="str">
        <f t="shared" si="39"/>
        <v>RUAS(2004)</v>
      </c>
      <c r="T60" s="9">
        <f t="shared" si="40"/>
        <v>2</v>
      </c>
      <c r="U60" s="9" t="str">
        <f t="shared" si="41"/>
        <v>VINICIUS ROLIM(SCCP)</v>
      </c>
      <c r="V60" s="9">
        <f t="shared" si="42"/>
        <v>1</v>
      </c>
      <c r="W60" s="9">
        <f t="shared" si="43"/>
        <v>2</v>
      </c>
    </row>
    <row r="61" spans="1:23" x14ac:dyDescent="0.25">
      <c r="A61" s="8">
        <v>19</v>
      </c>
      <c r="B61" s="19" t="str">
        <f>VLOOKUP($A61, Equipes!$A$3:$B$32, 2, FALSE)</f>
        <v>REGINALDO(SCCP)</v>
      </c>
      <c r="C61" s="18">
        <v>0</v>
      </c>
      <c r="D61" s="20" t="s">
        <v>22</v>
      </c>
      <c r="E61" s="18">
        <v>3</v>
      </c>
      <c r="F61" s="21" t="str">
        <f>VLOOKUP($G61, Equipes!$A$3:$B$32, 2, FALSE)</f>
        <v>TUPINAMBÁ(LSJC)</v>
      </c>
      <c r="G61" s="22">
        <v>21</v>
      </c>
      <c r="H61" s="19">
        <v>9</v>
      </c>
      <c r="I61" s="19" t="s">
        <v>17</v>
      </c>
      <c r="J61" s="19">
        <v>4</v>
      </c>
      <c r="K61" s="19"/>
      <c r="M61" s="9" t="str">
        <f t="shared" si="33"/>
        <v>REGINALDO(SCCP)</v>
      </c>
      <c r="N61" s="9" t="str">
        <f t="shared" si="34"/>
        <v>TUPINAMBÁ(LSJC)</v>
      </c>
      <c r="O61" s="9" t="str">
        <f t="shared" si="35"/>
        <v>TUPINAMBÁ(LSJC)</v>
      </c>
      <c r="P61" s="9" t="str">
        <f t="shared" si="36"/>
        <v/>
      </c>
      <c r="Q61" s="9" t="str">
        <f t="shared" si="37"/>
        <v/>
      </c>
      <c r="R61" s="9" t="str">
        <f t="shared" si="38"/>
        <v>REGINALDO(SCCP)</v>
      </c>
      <c r="S61" s="9" t="str">
        <f t="shared" si="39"/>
        <v>REGINALDO(SCCP)</v>
      </c>
      <c r="T61" s="9">
        <f t="shared" si="40"/>
        <v>0</v>
      </c>
      <c r="U61" s="9" t="str">
        <f t="shared" si="41"/>
        <v>TUPINAMBÁ(LSJC)</v>
      </c>
      <c r="V61" s="9">
        <f t="shared" si="42"/>
        <v>3</v>
      </c>
      <c r="W61" s="9">
        <f t="shared" si="43"/>
        <v>0</v>
      </c>
    </row>
    <row r="62" spans="1:23" x14ac:dyDescent="0.25">
      <c r="A62" s="8">
        <v>24</v>
      </c>
      <c r="B62" s="9" t="str">
        <f>VLOOKUP($A62, Equipes!$A$3:$B$32, 2, FALSE)</f>
        <v>ZÉ LUIZ(SPFC)</v>
      </c>
      <c r="C62" s="18">
        <v>2</v>
      </c>
      <c r="D62" s="10" t="s">
        <v>22</v>
      </c>
      <c r="E62" s="18">
        <v>1</v>
      </c>
      <c r="F62" s="11" t="str">
        <f>VLOOKUP($G62, Equipes!$A$3:$B$32, 2, FALSE)</f>
        <v>LUIZ COELHO(MZ)</v>
      </c>
      <c r="G62" s="8">
        <v>20</v>
      </c>
      <c r="H62" s="9">
        <v>13</v>
      </c>
      <c r="I62" s="9" t="s">
        <v>17</v>
      </c>
      <c r="J62" s="9">
        <v>4</v>
      </c>
      <c r="M62" s="9" t="str">
        <f t="shared" si="33"/>
        <v>ZÉ LUIZ(SPFC)</v>
      </c>
      <c r="N62" s="9" t="str">
        <f t="shared" si="34"/>
        <v>LUIZ COELHO(MZ)</v>
      </c>
      <c r="O62" s="9" t="str">
        <f t="shared" si="35"/>
        <v>ZÉ LUIZ(SPFC)</v>
      </c>
      <c r="P62" s="9" t="str">
        <f t="shared" si="36"/>
        <v/>
      </c>
      <c r="Q62" s="9" t="str">
        <f t="shared" si="37"/>
        <v/>
      </c>
      <c r="R62" s="9" t="str">
        <f t="shared" si="38"/>
        <v>LUIZ COELHO(MZ)</v>
      </c>
      <c r="S62" s="9" t="str">
        <f t="shared" si="39"/>
        <v>ZÉ LUIZ(SPFC)</v>
      </c>
      <c r="T62" s="9">
        <f t="shared" si="40"/>
        <v>2</v>
      </c>
      <c r="U62" s="9" t="str">
        <f t="shared" si="41"/>
        <v>LUIZ COELHO(MZ)</v>
      </c>
      <c r="V62" s="9">
        <f t="shared" si="42"/>
        <v>1</v>
      </c>
      <c r="W62" s="9">
        <f t="shared" si="43"/>
        <v>2</v>
      </c>
    </row>
    <row r="63" spans="1:23" x14ac:dyDescent="0.25">
      <c r="A63" s="8">
        <v>23</v>
      </c>
      <c r="B63" s="19" t="str">
        <f>VLOOKUP($A63, Equipes!$A$3:$B$32, 2, FALSE)</f>
        <v>PEPE 2004(2004)</v>
      </c>
      <c r="C63" s="18">
        <v>2</v>
      </c>
      <c r="D63" s="20" t="s">
        <v>22</v>
      </c>
      <c r="E63" s="18">
        <v>1</v>
      </c>
      <c r="F63" s="21" t="str">
        <f>VLOOKUP($G63, Equipes!$A$3:$B$32, 2, FALSE)</f>
        <v>GALDEANO(SCCP)</v>
      </c>
      <c r="G63" s="22">
        <v>22</v>
      </c>
      <c r="H63" s="19">
        <v>8</v>
      </c>
      <c r="I63" s="19" t="s">
        <v>17</v>
      </c>
      <c r="J63" s="19">
        <v>4</v>
      </c>
      <c r="K63" s="19"/>
      <c r="M63" s="9" t="str">
        <f t="shared" si="33"/>
        <v>PEPE 2004(2004)</v>
      </c>
      <c r="N63" s="9" t="str">
        <f t="shared" si="34"/>
        <v>GALDEANO(SCCP)</v>
      </c>
      <c r="O63" s="9" t="str">
        <f t="shared" si="35"/>
        <v>PEPE 2004(2004)</v>
      </c>
      <c r="P63" s="9" t="str">
        <f t="shared" si="36"/>
        <v/>
      </c>
      <c r="Q63" s="9" t="str">
        <f t="shared" si="37"/>
        <v/>
      </c>
      <c r="R63" s="9" t="str">
        <f t="shared" si="38"/>
        <v>GALDEANO(SCCP)</v>
      </c>
      <c r="S63" s="9" t="str">
        <f t="shared" si="39"/>
        <v>PEPE 2004(2004)</v>
      </c>
      <c r="T63" s="9">
        <f t="shared" si="40"/>
        <v>2</v>
      </c>
      <c r="U63" s="9" t="str">
        <f t="shared" si="41"/>
        <v>GALDEANO(SCCP)</v>
      </c>
      <c r="V63" s="9">
        <f t="shared" si="42"/>
        <v>1</v>
      </c>
      <c r="W63" s="9">
        <f t="shared" si="43"/>
        <v>2</v>
      </c>
    </row>
    <row r="64" spans="1:23" x14ac:dyDescent="0.25">
      <c r="A64" s="8">
        <v>25</v>
      </c>
      <c r="B64" s="9" t="str">
        <f>VLOOKUP($A64, Equipes!$A$3:$B$32, 2, FALSE)</f>
        <v>ANDRÉ COELHO(SCCP)</v>
      </c>
      <c r="C64" s="18">
        <v>1</v>
      </c>
      <c r="D64" s="10" t="s">
        <v>22</v>
      </c>
      <c r="E64" s="18">
        <v>4</v>
      </c>
      <c r="F64" s="11" t="str">
        <f>VLOOKUP($G64, Equipes!$A$3:$B$32, 2, FALSE)</f>
        <v>JEFFERSON TABAJARA(2004)</v>
      </c>
      <c r="G64" s="8">
        <v>27</v>
      </c>
      <c r="H64" s="9">
        <v>2</v>
      </c>
      <c r="I64" s="9" t="s">
        <v>16</v>
      </c>
      <c r="J64" s="9">
        <v>4</v>
      </c>
      <c r="M64" s="9" t="str">
        <f t="shared" si="33"/>
        <v>ANDRÉ COELHO(SCCP)</v>
      </c>
      <c r="N64" s="9" t="str">
        <f t="shared" si="34"/>
        <v>JEFFERSON TABAJARA(2004)</v>
      </c>
      <c r="O64" s="9" t="str">
        <f t="shared" si="35"/>
        <v>JEFFERSON TABAJARA(2004)</v>
      </c>
      <c r="P64" s="9" t="str">
        <f t="shared" si="36"/>
        <v/>
      </c>
      <c r="Q64" s="9" t="str">
        <f t="shared" si="37"/>
        <v/>
      </c>
      <c r="R64" s="9" t="str">
        <f t="shared" si="38"/>
        <v>ANDRÉ COELHO(SCCP)</v>
      </c>
      <c r="S64" s="9" t="str">
        <f t="shared" si="39"/>
        <v>ANDRÉ COELHO(SCCP)</v>
      </c>
      <c r="T64" s="9">
        <f t="shared" si="40"/>
        <v>1</v>
      </c>
      <c r="U64" s="9" t="str">
        <f t="shared" si="41"/>
        <v>JEFFERSON TABAJARA(2004)</v>
      </c>
      <c r="V64" s="9">
        <f t="shared" si="42"/>
        <v>4</v>
      </c>
      <c r="W64" s="9">
        <f t="shared" si="43"/>
        <v>1</v>
      </c>
    </row>
    <row r="65" spans="1:23" x14ac:dyDescent="0.25">
      <c r="A65" s="8">
        <v>30</v>
      </c>
      <c r="B65" s="19" t="str">
        <f>VLOOKUP($A65, Equipes!$A$3:$B$32, 2, FALSE)</f>
        <v>NORBERTO(7/9)</v>
      </c>
      <c r="C65" s="18">
        <v>0</v>
      </c>
      <c r="D65" s="20" t="s">
        <v>22</v>
      </c>
      <c r="E65" s="18">
        <v>0</v>
      </c>
      <c r="F65" s="21" t="str">
        <f>VLOOKUP($G65, Equipes!$A$3:$B$32, 2, FALSE)</f>
        <v>RAFAEL BALIEIRO(LSJC)</v>
      </c>
      <c r="G65" s="22">
        <v>26</v>
      </c>
      <c r="H65" s="19">
        <v>3</v>
      </c>
      <c r="I65" s="19" t="s">
        <v>16</v>
      </c>
      <c r="J65" s="19">
        <v>4</v>
      </c>
      <c r="K65" s="19"/>
      <c r="M65" s="9" t="str">
        <f t="shared" si="33"/>
        <v>NORBERTO(7/9)</v>
      </c>
      <c r="N65" s="9" t="str">
        <f t="shared" si="34"/>
        <v>RAFAEL BALIEIRO(LSJC)</v>
      </c>
      <c r="O65" s="9" t="str">
        <f t="shared" si="35"/>
        <v/>
      </c>
      <c r="P65" s="9" t="str">
        <f t="shared" si="36"/>
        <v>NORBERTO(7/9)</v>
      </c>
      <c r="Q65" s="9" t="str">
        <f t="shared" si="37"/>
        <v>RAFAEL BALIEIRO(LSJC)</v>
      </c>
      <c r="R65" s="9" t="str">
        <f t="shared" si="38"/>
        <v/>
      </c>
      <c r="S65" s="9" t="str">
        <f t="shared" si="39"/>
        <v>NORBERTO(7/9)</v>
      </c>
      <c r="T65" s="9">
        <f t="shared" si="40"/>
        <v>0</v>
      </c>
      <c r="U65" s="9" t="str">
        <f t="shared" si="41"/>
        <v>RAFAEL BALIEIRO(LSJC)</v>
      </c>
      <c r="V65" s="9">
        <f t="shared" si="42"/>
        <v>0</v>
      </c>
      <c r="W65" s="9">
        <f t="shared" si="43"/>
        <v>0</v>
      </c>
    </row>
    <row r="66" spans="1:23" x14ac:dyDescent="0.25">
      <c r="A66" s="8">
        <v>29</v>
      </c>
      <c r="B66" s="9" t="str">
        <f>VLOOKUP($A66, Equipes!$A$3:$B$32, 2, FALSE)</f>
        <v>DJ IURY(LSJC)</v>
      </c>
      <c r="C66" s="18">
        <v>0</v>
      </c>
      <c r="D66" s="10" t="s">
        <v>22</v>
      </c>
      <c r="E66" s="18">
        <v>1</v>
      </c>
      <c r="F66" s="11" t="str">
        <f>VLOOKUP($G66, Equipes!$A$3:$B$32, 2, FALSE)</f>
        <v>CORTEZ (MZ)</v>
      </c>
      <c r="G66" s="8">
        <v>28</v>
      </c>
      <c r="H66" s="9">
        <v>15</v>
      </c>
      <c r="I66" s="9" t="s">
        <v>16</v>
      </c>
      <c r="J66" s="9">
        <v>4</v>
      </c>
      <c r="M66" s="9" t="str">
        <f t="shared" si="33"/>
        <v>DJ IURY(LSJC)</v>
      </c>
      <c r="N66" s="9" t="str">
        <f t="shared" si="34"/>
        <v>CORTEZ (MZ)</v>
      </c>
      <c r="O66" s="9" t="str">
        <f t="shared" si="35"/>
        <v>CORTEZ (MZ)</v>
      </c>
      <c r="P66" s="9" t="str">
        <f t="shared" si="36"/>
        <v/>
      </c>
      <c r="Q66" s="9" t="str">
        <f t="shared" si="37"/>
        <v/>
      </c>
      <c r="R66" s="9" t="str">
        <f t="shared" si="38"/>
        <v>DJ IURY(LSJC)</v>
      </c>
      <c r="S66" s="9" t="str">
        <f t="shared" si="39"/>
        <v>DJ IURY(LSJC)</v>
      </c>
      <c r="T66" s="9">
        <f t="shared" si="40"/>
        <v>0</v>
      </c>
      <c r="U66" s="9" t="str">
        <f t="shared" si="41"/>
        <v>CORTEZ (MZ)</v>
      </c>
      <c r="V66" s="9">
        <f t="shared" si="42"/>
        <v>1</v>
      </c>
      <c r="W66" s="9">
        <f t="shared" si="43"/>
        <v>0</v>
      </c>
    </row>
    <row r="67" spans="1:23" x14ac:dyDescent="0.25">
      <c r="B67" s="13" t="s">
        <v>29</v>
      </c>
      <c r="C67" s="14"/>
      <c r="D67" s="14"/>
      <c r="E67" s="14"/>
      <c r="F67" s="15"/>
      <c r="G67" s="16"/>
      <c r="H67" s="13" t="s">
        <v>11</v>
      </c>
      <c r="I67" s="13" t="s">
        <v>12</v>
      </c>
      <c r="J67" s="13" t="s">
        <v>13</v>
      </c>
      <c r="K67" s="17">
        <f>K3 + TIME(0,80,0)</f>
        <v>44969.534722222219</v>
      </c>
      <c r="M67" s="12" t="s">
        <v>14</v>
      </c>
      <c r="N67" s="12" t="s">
        <v>14</v>
      </c>
      <c r="O67" s="12" t="s">
        <v>15</v>
      </c>
      <c r="P67" s="12" t="s">
        <v>16</v>
      </c>
      <c r="Q67" s="12" t="s">
        <v>16</v>
      </c>
      <c r="R67" s="12" t="s">
        <v>17</v>
      </c>
      <c r="S67" s="12" t="s">
        <v>18</v>
      </c>
      <c r="T67" s="12" t="s">
        <v>19</v>
      </c>
      <c r="U67" s="12" t="s">
        <v>15</v>
      </c>
      <c r="V67" s="12" t="s">
        <v>20</v>
      </c>
      <c r="W67" s="12" t="s">
        <v>21</v>
      </c>
    </row>
    <row r="68" spans="1:23" x14ac:dyDescent="0.25">
      <c r="A68" s="8">
        <v>1</v>
      </c>
      <c r="B68" s="9" t="str">
        <f>VLOOKUP($A68, Equipes!$A$3:$B$32, 2, FALSE)</f>
        <v>PABLO MARTINS(SCCP)</v>
      </c>
      <c r="C68" s="18">
        <v>1</v>
      </c>
      <c r="D68" s="10" t="s">
        <v>22</v>
      </c>
      <c r="E68" s="18">
        <v>0</v>
      </c>
      <c r="F68" s="11" t="str">
        <f>VLOOKUP($G68, Equipes!$A$3:$B$32, 2, FALSE)</f>
        <v>PROFESSOR(LSJC)</v>
      </c>
      <c r="G68" s="8">
        <v>2</v>
      </c>
      <c r="H68" s="9">
        <v>16</v>
      </c>
      <c r="I68" s="9" t="s">
        <v>23</v>
      </c>
      <c r="J68" s="9">
        <v>5</v>
      </c>
      <c r="M68" s="9" t="str">
        <f t="shared" ref="M68:M82" si="44">IF(OR(C68 = "",E68 = ""), "", B68)</f>
        <v>PABLO MARTINS(SCCP)</v>
      </c>
      <c r="N68" s="9" t="str">
        <f t="shared" ref="N68:N82" si="45">IF(OR(C68 = "",E68 = ""), "", F68)</f>
        <v>PROFESSOR(LSJC)</v>
      </c>
      <c r="O68" s="9" t="str">
        <f t="shared" ref="O68:O82" si="46">IF(C68&gt;E68,B68, IF(E68&gt;C68,F68, ""))</f>
        <v>PABLO MARTINS(SCCP)</v>
      </c>
      <c r="P68" s="9" t="str">
        <f t="shared" ref="P68:P82" si="47">IF(OR(C68 = "",E68 = ""), "", IF(C68=E68,B68, ""))</f>
        <v/>
      </c>
      <c r="Q68" s="9" t="str">
        <f t="shared" ref="Q68:Q82" si="48">IF(OR(C68 = "",E68 = ""), "", IF(C68=E68,F68, ""))</f>
        <v/>
      </c>
      <c r="R68" s="9" t="str">
        <f t="shared" ref="R68:R82" si="49">IF(C68&gt;E68,F68, IF(E68&gt;C68,B68, ""))</f>
        <v>PROFESSOR(LSJC)</v>
      </c>
      <c r="S68" s="9" t="str">
        <f t="shared" ref="S68:S82" si="50">IF(OR(C68 = "",E68 = ""), "", B68)</f>
        <v>PABLO MARTINS(SCCP)</v>
      </c>
      <c r="T68" s="9">
        <f t="shared" ref="T68:T82" si="51">IF(C68 = "", "", C68)</f>
        <v>1</v>
      </c>
      <c r="U68" s="9" t="str">
        <f t="shared" ref="U68:U82" si="52">IF(OR(C68 = "",E68 = ""), "", F68)</f>
        <v>PROFESSOR(LSJC)</v>
      </c>
      <c r="V68" s="9">
        <f t="shared" ref="V68:V82" si="53">IF(E68 = "", "", E68)</f>
        <v>0</v>
      </c>
      <c r="W68" s="9">
        <f t="shared" ref="W68:W82" si="54">IF(C68 = "", "", C68)</f>
        <v>1</v>
      </c>
    </row>
    <row r="69" spans="1:23" x14ac:dyDescent="0.25">
      <c r="A69" s="8">
        <v>3</v>
      </c>
      <c r="B69" s="19" t="str">
        <f>VLOOKUP($A69, Equipes!$A$3:$B$32, 2, FALSE)</f>
        <v>MICA(MZ)</v>
      </c>
      <c r="C69" s="18">
        <v>1</v>
      </c>
      <c r="D69" s="20" t="s">
        <v>22</v>
      </c>
      <c r="E69" s="18">
        <v>0</v>
      </c>
      <c r="F69" s="21" t="str">
        <f>VLOOKUP($G69, Equipes!$A$3:$B$32, 2, FALSE)</f>
        <v>RODRIGO MORO(SCCP)</v>
      </c>
      <c r="G69" s="22">
        <v>4</v>
      </c>
      <c r="H69" s="19">
        <v>3</v>
      </c>
      <c r="I69" s="19" t="s">
        <v>23</v>
      </c>
      <c r="J69" s="19">
        <v>5</v>
      </c>
      <c r="K69" s="19"/>
      <c r="M69" s="9" t="str">
        <f t="shared" si="44"/>
        <v>MICA(MZ)</v>
      </c>
      <c r="N69" s="9" t="str">
        <f t="shared" si="45"/>
        <v>RODRIGO MORO(SCCP)</v>
      </c>
      <c r="O69" s="9" t="str">
        <f t="shared" si="46"/>
        <v>MICA(MZ)</v>
      </c>
      <c r="P69" s="9" t="str">
        <f t="shared" si="47"/>
        <v/>
      </c>
      <c r="Q69" s="9" t="str">
        <f t="shared" si="48"/>
        <v/>
      </c>
      <c r="R69" s="9" t="str">
        <f t="shared" si="49"/>
        <v>RODRIGO MORO(SCCP)</v>
      </c>
      <c r="S69" s="9" t="str">
        <f t="shared" si="50"/>
        <v>MICA(MZ)</v>
      </c>
      <c r="T69" s="9">
        <f t="shared" si="51"/>
        <v>1</v>
      </c>
      <c r="U69" s="9" t="str">
        <f t="shared" si="52"/>
        <v>RODRIGO MORO(SCCP)</v>
      </c>
      <c r="V69" s="9">
        <f t="shared" si="53"/>
        <v>0</v>
      </c>
      <c r="W69" s="9">
        <f t="shared" si="54"/>
        <v>1</v>
      </c>
    </row>
    <row r="70" spans="1:23" x14ac:dyDescent="0.25">
      <c r="A70" s="8">
        <v>6</v>
      </c>
      <c r="B70" s="9" t="str">
        <f>VLOOKUP($A70, Equipes!$A$3:$B$32, 2, FALSE)</f>
        <v>DIOGO(2004)</v>
      </c>
      <c r="C70" s="18">
        <v>3</v>
      </c>
      <c r="D70" s="10" t="s">
        <v>22</v>
      </c>
      <c r="E70" s="18">
        <v>1</v>
      </c>
      <c r="F70" s="11" t="str">
        <f>VLOOKUP($G70, Equipes!$A$3:$B$32, 2, FALSE)</f>
        <v>CRISTIANO JOSÉ(LSJC)</v>
      </c>
      <c r="G70" s="8">
        <v>5</v>
      </c>
      <c r="H70" s="9">
        <v>8</v>
      </c>
      <c r="I70" s="9" t="s">
        <v>23</v>
      </c>
      <c r="J70" s="9">
        <v>5</v>
      </c>
      <c r="M70" s="9" t="str">
        <f t="shared" si="44"/>
        <v>DIOGO(2004)</v>
      </c>
      <c r="N70" s="9" t="str">
        <f t="shared" si="45"/>
        <v>CRISTIANO JOSÉ(LSJC)</v>
      </c>
      <c r="O70" s="9" t="str">
        <f t="shared" si="46"/>
        <v>DIOGO(2004)</v>
      </c>
      <c r="P70" s="9" t="str">
        <f t="shared" si="47"/>
        <v/>
      </c>
      <c r="Q70" s="9" t="str">
        <f t="shared" si="48"/>
        <v/>
      </c>
      <c r="R70" s="9" t="str">
        <f t="shared" si="49"/>
        <v>CRISTIANO JOSÉ(LSJC)</v>
      </c>
      <c r="S70" s="9" t="str">
        <f t="shared" si="50"/>
        <v>DIOGO(2004)</v>
      </c>
      <c r="T70" s="9">
        <f t="shared" si="51"/>
        <v>3</v>
      </c>
      <c r="U70" s="9" t="str">
        <f t="shared" si="52"/>
        <v>CRISTIANO JOSÉ(LSJC)</v>
      </c>
      <c r="V70" s="9">
        <f t="shared" si="53"/>
        <v>1</v>
      </c>
      <c r="W70" s="9">
        <f t="shared" si="54"/>
        <v>3</v>
      </c>
    </row>
    <row r="71" spans="1:23" x14ac:dyDescent="0.25">
      <c r="A71" s="8">
        <v>7</v>
      </c>
      <c r="B71" s="19" t="str">
        <f>VLOOKUP($A71, Equipes!$A$3:$B$32, 2, FALSE)</f>
        <v>MARCOS WILLOW(SCCP)</v>
      </c>
      <c r="C71" s="18">
        <v>1</v>
      </c>
      <c r="D71" s="20" t="s">
        <v>22</v>
      </c>
      <c r="E71" s="18">
        <v>0</v>
      </c>
      <c r="F71" s="21" t="str">
        <f>VLOOKUP($G71, Equipes!$A$3:$B$32, 2, FALSE)</f>
        <v>MURA(MZ)</v>
      </c>
      <c r="G71" s="22">
        <v>8</v>
      </c>
      <c r="H71" s="19">
        <v>11</v>
      </c>
      <c r="I71" s="19" t="s">
        <v>24</v>
      </c>
      <c r="J71" s="19">
        <v>5</v>
      </c>
      <c r="K71" s="19"/>
      <c r="M71" s="9" t="str">
        <f t="shared" si="44"/>
        <v>MARCOS WILLOW(SCCP)</v>
      </c>
      <c r="N71" s="9" t="str">
        <f t="shared" si="45"/>
        <v>MURA(MZ)</v>
      </c>
      <c r="O71" s="9" t="str">
        <f t="shared" si="46"/>
        <v>MARCOS WILLOW(SCCP)</v>
      </c>
      <c r="P71" s="9" t="str">
        <f t="shared" si="47"/>
        <v/>
      </c>
      <c r="Q71" s="9" t="str">
        <f t="shared" si="48"/>
        <v/>
      </c>
      <c r="R71" s="9" t="str">
        <f t="shared" si="49"/>
        <v>MURA(MZ)</v>
      </c>
      <c r="S71" s="9" t="str">
        <f t="shared" si="50"/>
        <v>MARCOS WILLOW(SCCP)</v>
      </c>
      <c r="T71" s="9">
        <f t="shared" si="51"/>
        <v>1</v>
      </c>
      <c r="U71" s="9" t="str">
        <f t="shared" si="52"/>
        <v>MURA(MZ)</v>
      </c>
      <c r="V71" s="9">
        <f t="shared" si="53"/>
        <v>0</v>
      </c>
      <c r="W71" s="9">
        <f t="shared" si="54"/>
        <v>1</v>
      </c>
    </row>
    <row r="72" spans="1:23" x14ac:dyDescent="0.25">
      <c r="A72" s="8">
        <v>9</v>
      </c>
      <c r="B72" s="9" t="str">
        <f>VLOOKUP($A72, Equipes!$A$3:$B$32, 2, FALSE)</f>
        <v>MARIELCIO(LSJC)</v>
      </c>
      <c r="C72" s="18">
        <v>1</v>
      </c>
      <c r="D72" s="10" t="s">
        <v>22</v>
      </c>
      <c r="E72" s="18">
        <v>3</v>
      </c>
      <c r="F72" s="11" t="str">
        <f>VLOOKUP($G72, Equipes!$A$3:$B$32, 2, FALSE)</f>
        <v>TERUEL(SCCP)</v>
      </c>
      <c r="G72" s="8">
        <v>10</v>
      </c>
      <c r="H72" s="9">
        <v>15</v>
      </c>
      <c r="I72" s="9" t="s">
        <v>24</v>
      </c>
      <c r="J72" s="9">
        <v>5</v>
      </c>
      <c r="M72" s="9" t="str">
        <f t="shared" si="44"/>
        <v>MARIELCIO(LSJC)</v>
      </c>
      <c r="N72" s="9" t="str">
        <f t="shared" si="45"/>
        <v>TERUEL(SCCP)</v>
      </c>
      <c r="O72" s="9" t="str">
        <f t="shared" si="46"/>
        <v>TERUEL(SCCP)</v>
      </c>
      <c r="P72" s="9" t="str">
        <f t="shared" si="47"/>
        <v/>
      </c>
      <c r="Q72" s="9" t="str">
        <f t="shared" si="48"/>
        <v/>
      </c>
      <c r="R72" s="9" t="str">
        <f t="shared" si="49"/>
        <v>MARIELCIO(LSJC)</v>
      </c>
      <c r="S72" s="9" t="str">
        <f t="shared" si="50"/>
        <v>MARIELCIO(LSJC)</v>
      </c>
      <c r="T72" s="9">
        <f t="shared" si="51"/>
        <v>1</v>
      </c>
      <c r="U72" s="9" t="str">
        <f t="shared" si="52"/>
        <v>TERUEL(SCCP)</v>
      </c>
      <c r="V72" s="9">
        <f t="shared" si="53"/>
        <v>3</v>
      </c>
      <c r="W72" s="9">
        <f t="shared" si="54"/>
        <v>1</v>
      </c>
    </row>
    <row r="73" spans="1:23" x14ac:dyDescent="0.25">
      <c r="A73" s="8">
        <v>12</v>
      </c>
      <c r="B73" s="19" t="str">
        <f>VLOOKUP($A73, Equipes!$A$3:$B$32, 2, FALSE)</f>
        <v>MARCÃO SILVA(SPFC)</v>
      </c>
      <c r="C73" s="18">
        <v>1</v>
      </c>
      <c r="D73" s="20" t="s">
        <v>22</v>
      </c>
      <c r="E73" s="18">
        <v>0</v>
      </c>
      <c r="F73" s="21" t="str">
        <f>VLOOKUP($G73, Equipes!$A$3:$B$32, 2, FALSE)</f>
        <v>LÉO CARIOCA(MZ)</v>
      </c>
      <c r="G73" s="22">
        <v>11</v>
      </c>
      <c r="H73" s="19">
        <v>13</v>
      </c>
      <c r="I73" s="19" t="s">
        <v>24</v>
      </c>
      <c r="J73" s="19">
        <v>5</v>
      </c>
      <c r="K73" s="19"/>
      <c r="M73" s="9" t="str">
        <f t="shared" si="44"/>
        <v>MARCÃO SILVA(SPFC)</v>
      </c>
      <c r="N73" s="9" t="str">
        <f t="shared" si="45"/>
        <v>LÉO CARIOCA(MZ)</v>
      </c>
      <c r="O73" s="9" t="str">
        <f t="shared" si="46"/>
        <v>MARCÃO SILVA(SPFC)</v>
      </c>
      <c r="P73" s="9" t="str">
        <f t="shared" si="47"/>
        <v/>
      </c>
      <c r="Q73" s="9" t="str">
        <f t="shared" si="48"/>
        <v/>
      </c>
      <c r="R73" s="9" t="str">
        <f t="shared" si="49"/>
        <v>LÉO CARIOCA(MZ)</v>
      </c>
      <c r="S73" s="9" t="str">
        <f t="shared" si="50"/>
        <v>MARCÃO SILVA(SPFC)</v>
      </c>
      <c r="T73" s="9">
        <f t="shared" si="51"/>
        <v>1</v>
      </c>
      <c r="U73" s="9" t="str">
        <f t="shared" si="52"/>
        <v>LÉO CARIOCA(MZ)</v>
      </c>
      <c r="V73" s="9">
        <f t="shared" si="53"/>
        <v>0</v>
      </c>
      <c r="W73" s="9">
        <f t="shared" si="54"/>
        <v>1</v>
      </c>
    </row>
    <row r="74" spans="1:23" x14ac:dyDescent="0.25">
      <c r="A74" s="8">
        <v>13</v>
      </c>
      <c r="B74" s="9" t="str">
        <f>VLOOKUP($A74, Equipes!$A$3:$B$32, 2, FALSE)</f>
        <v>SALLYS(SCCP)</v>
      </c>
      <c r="C74" s="18">
        <v>2</v>
      </c>
      <c r="D74" s="10" t="s">
        <v>22</v>
      </c>
      <c r="E74" s="18">
        <v>2</v>
      </c>
      <c r="F74" s="11" t="str">
        <f>VLOOKUP($G74, Equipes!$A$3:$B$32, 2, FALSE)</f>
        <v>ERISMAR(MZ)</v>
      </c>
      <c r="G74" s="8">
        <v>14</v>
      </c>
      <c r="H74" s="9">
        <v>2</v>
      </c>
      <c r="I74" s="9" t="s">
        <v>25</v>
      </c>
      <c r="J74" s="9">
        <v>5</v>
      </c>
      <c r="M74" s="9" t="str">
        <f t="shared" si="44"/>
        <v>SALLYS(SCCP)</v>
      </c>
      <c r="N74" s="9" t="str">
        <f t="shared" si="45"/>
        <v>ERISMAR(MZ)</v>
      </c>
      <c r="O74" s="9" t="str">
        <f t="shared" si="46"/>
        <v/>
      </c>
      <c r="P74" s="9" t="str">
        <f t="shared" si="47"/>
        <v>SALLYS(SCCP)</v>
      </c>
      <c r="Q74" s="9" t="str">
        <f t="shared" si="48"/>
        <v>ERISMAR(MZ)</v>
      </c>
      <c r="R74" s="9" t="str">
        <f t="shared" si="49"/>
        <v/>
      </c>
      <c r="S74" s="9" t="str">
        <f t="shared" si="50"/>
        <v>SALLYS(SCCP)</v>
      </c>
      <c r="T74" s="9">
        <f t="shared" si="51"/>
        <v>2</v>
      </c>
      <c r="U74" s="9" t="str">
        <f t="shared" si="52"/>
        <v>ERISMAR(MZ)</v>
      </c>
      <c r="V74" s="9">
        <f t="shared" si="53"/>
        <v>2</v>
      </c>
      <c r="W74" s="9">
        <f t="shared" si="54"/>
        <v>2</v>
      </c>
    </row>
    <row r="75" spans="1:23" x14ac:dyDescent="0.25">
      <c r="A75" s="8">
        <v>15</v>
      </c>
      <c r="B75" s="19" t="str">
        <f>VLOOKUP($A75, Equipes!$A$3:$B$32, 2, FALSE)</f>
        <v>LUIZ MOREIRA(LSJC)</v>
      </c>
      <c r="C75" s="18">
        <v>0</v>
      </c>
      <c r="D75" s="20" t="s">
        <v>22</v>
      </c>
      <c r="E75" s="18">
        <v>5</v>
      </c>
      <c r="F75" s="21" t="str">
        <f>VLOOKUP($G75, Equipes!$A$3:$B$32, 2, FALSE)</f>
        <v>VINICIUS ROLIM(SCCP)</v>
      </c>
      <c r="G75" s="22">
        <v>16</v>
      </c>
      <c r="H75" s="19">
        <v>6</v>
      </c>
      <c r="I75" s="19" t="s">
        <v>25</v>
      </c>
      <c r="J75" s="19">
        <v>5</v>
      </c>
      <c r="K75" s="19"/>
      <c r="M75" s="9" t="str">
        <f t="shared" si="44"/>
        <v>LUIZ MOREIRA(LSJC)</v>
      </c>
      <c r="N75" s="9" t="str">
        <f t="shared" si="45"/>
        <v>VINICIUS ROLIM(SCCP)</v>
      </c>
      <c r="O75" s="9" t="str">
        <f t="shared" si="46"/>
        <v>VINICIUS ROLIM(SCCP)</v>
      </c>
      <c r="P75" s="9" t="str">
        <f t="shared" si="47"/>
        <v/>
      </c>
      <c r="Q75" s="9" t="str">
        <f t="shared" si="48"/>
        <v/>
      </c>
      <c r="R75" s="9" t="str">
        <f t="shared" si="49"/>
        <v>LUIZ MOREIRA(LSJC)</v>
      </c>
      <c r="S75" s="9" t="str">
        <f t="shared" si="50"/>
        <v>LUIZ MOREIRA(LSJC)</v>
      </c>
      <c r="T75" s="9">
        <f t="shared" si="51"/>
        <v>0</v>
      </c>
      <c r="U75" s="9" t="str">
        <f t="shared" si="52"/>
        <v>VINICIUS ROLIM(SCCP)</v>
      </c>
      <c r="V75" s="9">
        <f t="shared" si="53"/>
        <v>5</v>
      </c>
      <c r="W75" s="9">
        <f t="shared" si="54"/>
        <v>0</v>
      </c>
    </row>
    <row r="76" spans="1:23" x14ac:dyDescent="0.25">
      <c r="A76" s="8">
        <v>18</v>
      </c>
      <c r="B76" s="9" t="str">
        <f>VLOOKUP($A76, Equipes!$A$3:$B$32, 2, FALSE)</f>
        <v>ELSIO(SPFC)</v>
      </c>
      <c r="C76" s="18">
        <v>2</v>
      </c>
      <c r="D76" s="10" t="s">
        <v>22</v>
      </c>
      <c r="E76" s="18">
        <v>2</v>
      </c>
      <c r="F76" s="11" t="str">
        <f>VLOOKUP($G76, Equipes!$A$3:$B$32, 2, FALSE)</f>
        <v>RUAS(2004)</v>
      </c>
      <c r="G76" s="8">
        <v>17</v>
      </c>
      <c r="H76" s="9">
        <v>5</v>
      </c>
      <c r="I76" s="9" t="s">
        <v>25</v>
      </c>
      <c r="J76" s="9">
        <v>5</v>
      </c>
      <c r="M76" s="9" t="str">
        <f t="shared" si="44"/>
        <v>ELSIO(SPFC)</v>
      </c>
      <c r="N76" s="9" t="str">
        <f t="shared" si="45"/>
        <v>RUAS(2004)</v>
      </c>
      <c r="O76" s="9" t="str">
        <f t="shared" si="46"/>
        <v/>
      </c>
      <c r="P76" s="9" t="str">
        <f t="shared" si="47"/>
        <v>ELSIO(SPFC)</v>
      </c>
      <c r="Q76" s="9" t="str">
        <f t="shared" si="48"/>
        <v>RUAS(2004)</v>
      </c>
      <c r="R76" s="9" t="str">
        <f t="shared" si="49"/>
        <v/>
      </c>
      <c r="S76" s="9" t="str">
        <f t="shared" si="50"/>
        <v>ELSIO(SPFC)</v>
      </c>
      <c r="T76" s="9">
        <f t="shared" si="51"/>
        <v>2</v>
      </c>
      <c r="U76" s="9" t="str">
        <f t="shared" si="52"/>
        <v>RUAS(2004)</v>
      </c>
      <c r="V76" s="9">
        <f t="shared" si="53"/>
        <v>2</v>
      </c>
      <c r="W76" s="9">
        <f t="shared" si="54"/>
        <v>2</v>
      </c>
    </row>
    <row r="77" spans="1:23" x14ac:dyDescent="0.25">
      <c r="A77" s="8">
        <v>19</v>
      </c>
      <c r="B77" s="19" t="str">
        <f>VLOOKUP($A77, Equipes!$A$3:$B$32, 2, FALSE)</f>
        <v>REGINALDO(SCCP)</v>
      </c>
      <c r="C77" s="18">
        <v>0</v>
      </c>
      <c r="D77" s="20" t="s">
        <v>22</v>
      </c>
      <c r="E77" s="18">
        <v>2</v>
      </c>
      <c r="F77" s="21" t="str">
        <f>VLOOKUP($G77, Equipes!$A$3:$B$32, 2, FALSE)</f>
        <v>LUIZ COELHO(MZ)</v>
      </c>
      <c r="G77" s="22">
        <v>20</v>
      </c>
      <c r="H77" s="19">
        <v>1</v>
      </c>
      <c r="I77" s="19" t="s">
        <v>17</v>
      </c>
      <c r="J77" s="19">
        <v>5</v>
      </c>
      <c r="K77" s="19"/>
      <c r="M77" s="9" t="str">
        <f t="shared" si="44"/>
        <v>REGINALDO(SCCP)</v>
      </c>
      <c r="N77" s="9" t="str">
        <f t="shared" si="45"/>
        <v>LUIZ COELHO(MZ)</v>
      </c>
      <c r="O77" s="9" t="str">
        <f t="shared" si="46"/>
        <v>LUIZ COELHO(MZ)</v>
      </c>
      <c r="P77" s="9" t="str">
        <f t="shared" si="47"/>
        <v/>
      </c>
      <c r="Q77" s="9" t="str">
        <f t="shared" si="48"/>
        <v/>
      </c>
      <c r="R77" s="9" t="str">
        <f t="shared" si="49"/>
        <v>REGINALDO(SCCP)</v>
      </c>
      <c r="S77" s="9" t="str">
        <f t="shared" si="50"/>
        <v>REGINALDO(SCCP)</v>
      </c>
      <c r="T77" s="9">
        <f t="shared" si="51"/>
        <v>0</v>
      </c>
      <c r="U77" s="9" t="str">
        <f t="shared" si="52"/>
        <v>LUIZ COELHO(MZ)</v>
      </c>
      <c r="V77" s="9">
        <f t="shared" si="53"/>
        <v>2</v>
      </c>
      <c r="W77" s="9">
        <f t="shared" si="54"/>
        <v>0</v>
      </c>
    </row>
    <row r="78" spans="1:23" x14ac:dyDescent="0.25">
      <c r="A78" s="8">
        <v>21</v>
      </c>
      <c r="B78" s="9" t="str">
        <f>VLOOKUP($A78, Equipes!$A$3:$B$32, 2, FALSE)</f>
        <v>TUPINAMBÁ(LSJC)</v>
      </c>
      <c r="C78" s="18">
        <v>1</v>
      </c>
      <c r="D78" s="10" t="s">
        <v>22</v>
      </c>
      <c r="E78" s="18">
        <v>5</v>
      </c>
      <c r="F78" s="11" t="str">
        <f>VLOOKUP($G78, Equipes!$A$3:$B$32, 2, FALSE)</f>
        <v>GALDEANO(SCCP)</v>
      </c>
      <c r="G78" s="8">
        <v>22</v>
      </c>
      <c r="H78" s="9">
        <v>7</v>
      </c>
      <c r="I78" s="9" t="s">
        <v>17</v>
      </c>
      <c r="J78" s="9">
        <v>5</v>
      </c>
      <c r="M78" s="9" t="str">
        <f t="shared" si="44"/>
        <v>TUPINAMBÁ(LSJC)</v>
      </c>
      <c r="N78" s="9" t="str">
        <f t="shared" si="45"/>
        <v>GALDEANO(SCCP)</v>
      </c>
      <c r="O78" s="9" t="str">
        <f t="shared" si="46"/>
        <v>GALDEANO(SCCP)</v>
      </c>
      <c r="P78" s="9" t="str">
        <f t="shared" si="47"/>
        <v/>
      </c>
      <c r="Q78" s="9" t="str">
        <f t="shared" si="48"/>
        <v/>
      </c>
      <c r="R78" s="9" t="str">
        <f t="shared" si="49"/>
        <v>TUPINAMBÁ(LSJC)</v>
      </c>
      <c r="S78" s="9" t="str">
        <f t="shared" si="50"/>
        <v>TUPINAMBÁ(LSJC)</v>
      </c>
      <c r="T78" s="9">
        <f t="shared" si="51"/>
        <v>1</v>
      </c>
      <c r="U78" s="9" t="str">
        <f t="shared" si="52"/>
        <v>GALDEANO(SCCP)</v>
      </c>
      <c r="V78" s="9">
        <f t="shared" si="53"/>
        <v>5</v>
      </c>
      <c r="W78" s="9">
        <f t="shared" si="54"/>
        <v>1</v>
      </c>
    </row>
    <row r="79" spans="1:23" x14ac:dyDescent="0.25">
      <c r="A79" s="8">
        <v>24</v>
      </c>
      <c r="B79" s="19" t="str">
        <f>VLOOKUP($A79, Equipes!$A$3:$B$32, 2, FALSE)</f>
        <v>ZÉ LUIZ(SPFC)</v>
      </c>
      <c r="C79" s="18">
        <v>2</v>
      </c>
      <c r="D79" s="20" t="s">
        <v>22</v>
      </c>
      <c r="E79" s="18">
        <v>1</v>
      </c>
      <c r="F79" s="21" t="str">
        <f>VLOOKUP($G79, Equipes!$A$3:$B$32, 2, FALSE)</f>
        <v>PEPE 2004(2004)</v>
      </c>
      <c r="G79" s="22">
        <v>23</v>
      </c>
      <c r="H79" s="19">
        <v>4</v>
      </c>
      <c r="I79" s="19" t="s">
        <v>17</v>
      </c>
      <c r="J79" s="19">
        <v>5</v>
      </c>
      <c r="K79" s="19"/>
      <c r="M79" s="9" t="str">
        <f t="shared" si="44"/>
        <v>ZÉ LUIZ(SPFC)</v>
      </c>
      <c r="N79" s="9" t="str">
        <f t="shared" si="45"/>
        <v>PEPE 2004(2004)</v>
      </c>
      <c r="O79" s="9" t="str">
        <f t="shared" si="46"/>
        <v>ZÉ LUIZ(SPFC)</v>
      </c>
      <c r="P79" s="9" t="str">
        <f t="shared" si="47"/>
        <v/>
      </c>
      <c r="Q79" s="9" t="str">
        <f t="shared" si="48"/>
        <v/>
      </c>
      <c r="R79" s="9" t="str">
        <f t="shared" si="49"/>
        <v>PEPE 2004(2004)</v>
      </c>
      <c r="S79" s="9" t="str">
        <f t="shared" si="50"/>
        <v>ZÉ LUIZ(SPFC)</v>
      </c>
      <c r="T79" s="9">
        <f t="shared" si="51"/>
        <v>2</v>
      </c>
      <c r="U79" s="9" t="str">
        <f t="shared" si="52"/>
        <v>PEPE 2004(2004)</v>
      </c>
      <c r="V79" s="9">
        <f t="shared" si="53"/>
        <v>1</v>
      </c>
      <c r="W79" s="9">
        <f t="shared" si="54"/>
        <v>2</v>
      </c>
    </row>
    <row r="80" spans="1:23" x14ac:dyDescent="0.25">
      <c r="A80" s="8">
        <v>25</v>
      </c>
      <c r="B80" s="9" t="str">
        <f>VLOOKUP($A80, Equipes!$A$3:$B$32, 2, FALSE)</f>
        <v>ANDRÉ COELHO(SCCP)</v>
      </c>
      <c r="C80" s="18">
        <v>1</v>
      </c>
      <c r="D80" s="10" t="s">
        <v>22</v>
      </c>
      <c r="E80" s="18">
        <v>1</v>
      </c>
      <c r="F80" s="11" t="str">
        <f>VLOOKUP($G80, Equipes!$A$3:$B$32, 2, FALSE)</f>
        <v>RAFAEL BALIEIRO(LSJC)</v>
      </c>
      <c r="G80" s="8">
        <v>26</v>
      </c>
      <c r="H80" s="9">
        <v>9</v>
      </c>
      <c r="I80" s="9" t="s">
        <v>16</v>
      </c>
      <c r="J80" s="9">
        <v>5</v>
      </c>
      <c r="M80" s="9" t="str">
        <f t="shared" si="44"/>
        <v>ANDRÉ COELHO(SCCP)</v>
      </c>
      <c r="N80" s="9" t="str">
        <f t="shared" si="45"/>
        <v>RAFAEL BALIEIRO(LSJC)</v>
      </c>
      <c r="O80" s="9" t="str">
        <f t="shared" si="46"/>
        <v/>
      </c>
      <c r="P80" s="9" t="str">
        <f t="shared" si="47"/>
        <v>ANDRÉ COELHO(SCCP)</v>
      </c>
      <c r="Q80" s="9" t="str">
        <f t="shared" si="48"/>
        <v>RAFAEL BALIEIRO(LSJC)</v>
      </c>
      <c r="R80" s="9" t="str">
        <f t="shared" si="49"/>
        <v/>
      </c>
      <c r="S80" s="9" t="str">
        <f t="shared" si="50"/>
        <v>ANDRÉ COELHO(SCCP)</v>
      </c>
      <c r="T80" s="9">
        <f t="shared" si="51"/>
        <v>1</v>
      </c>
      <c r="U80" s="9" t="str">
        <f t="shared" si="52"/>
        <v>RAFAEL BALIEIRO(LSJC)</v>
      </c>
      <c r="V80" s="9">
        <f t="shared" si="53"/>
        <v>1</v>
      </c>
      <c r="W80" s="9">
        <f t="shared" si="54"/>
        <v>1</v>
      </c>
    </row>
    <row r="81" spans="1:23" x14ac:dyDescent="0.25">
      <c r="A81" s="8">
        <v>27</v>
      </c>
      <c r="B81" s="19" t="str">
        <f>VLOOKUP($A81, Equipes!$A$3:$B$32, 2, FALSE)</f>
        <v>JEFFERSON TABAJARA(2004)</v>
      </c>
      <c r="C81" s="18">
        <v>2</v>
      </c>
      <c r="D81" s="20" t="s">
        <v>22</v>
      </c>
      <c r="E81" s="18">
        <v>1</v>
      </c>
      <c r="F81" s="21" t="str">
        <f>VLOOKUP($G81, Equipes!$A$3:$B$32, 2, FALSE)</f>
        <v>CORTEZ (MZ)</v>
      </c>
      <c r="G81" s="22">
        <v>28</v>
      </c>
      <c r="H81" s="19">
        <v>14</v>
      </c>
      <c r="I81" s="19" t="s">
        <v>16</v>
      </c>
      <c r="J81" s="19">
        <v>5</v>
      </c>
      <c r="K81" s="19"/>
      <c r="M81" s="9" t="str">
        <f t="shared" si="44"/>
        <v>JEFFERSON TABAJARA(2004)</v>
      </c>
      <c r="N81" s="9" t="str">
        <f t="shared" si="45"/>
        <v>CORTEZ (MZ)</v>
      </c>
      <c r="O81" s="9" t="str">
        <f t="shared" si="46"/>
        <v>JEFFERSON TABAJARA(2004)</v>
      </c>
      <c r="P81" s="9" t="str">
        <f t="shared" si="47"/>
        <v/>
      </c>
      <c r="Q81" s="9" t="str">
        <f t="shared" si="48"/>
        <v/>
      </c>
      <c r="R81" s="9" t="str">
        <f t="shared" si="49"/>
        <v>CORTEZ (MZ)</v>
      </c>
      <c r="S81" s="9" t="str">
        <f t="shared" si="50"/>
        <v>JEFFERSON TABAJARA(2004)</v>
      </c>
      <c r="T81" s="9">
        <f t="shared" si="51"/>
        <v>2</v>
      </c>
      <c r="U81" s="9" t="str">
        <f t="shared" si="52"/>
        <v>CORTEZ (MZ)</v>
      </c>
      <c r="V81" s="9">
        <f t="shared" si="53"/>
        <v>1</v>
      </c>
      <c r="W81" s="9">
        <f t="shared" si="54"/>
        <v>2</v>
      </c>
    </row>
    <row r="82" spans="1:23" x14ac:dyDescent="0.25">
      <c r="A82" s="8">
        <v>30</v>
      </c>
      <c r="B82" s="9" t="str">
        <f>VLOOKUP($A82, Equipes!$A$3:$B$32, 2, FALSE)</f>
        <v>NORBERTO(7/9)</v>
      </c>
      <c r="C82" s="18">
        <v>4</v>
      </c>
      <c r="D82" s="10" t="s">
        <v>22</v>
      </c>
      <c r="E82" s="18">
        <v>2</v>
      </c>
      <c r="F82" s="11" t="str">
        <f>VLOOKUP($G82, Equipes!$A$3:$B$32, 2, FALSE)</f>
        <v>DJ IURY(LSJC)</v>
      </c>
      <c r="G82" s="8">
        <v>29</v>
      </c>
      <c r="H82" s="9">
        <v>12</v>
      </c>
      <c r="I82" s="9" t="s">
        <v>16</v>
      </c>
      <c r="J82" s="9">
        <v>5</v>
      </c>
      <c r="M82" s="9" t="str">
        <f t="shared" si="44"/>
        <v>NORBERTO(7/9)</v>
      </c>
      <c r="N82" s="9" t="str">
        <f t="shared" si="45"/>
        <v>DJ IURY(LSJC)</v>
      </c>
      <c r="O82" s="9" t="str">
        <f t="shared" si="46"/>
        <v>NORBERTO(7/9)</v>
      </c>
      <c r="P82" s="9" t="str">
        <f t="shared" si="47"/>
        <v/>
      </c>
      <c r="Q82" s="9" t="str">
        <f t="shared" si="48"/>
        <v/>
      </c>
      <c r="R82" s="9" t="str">
        <f t="shared" si="49"/>
        <v>DJ IURY(LSJC)</v>
      </c>
      <c r="S82" s="9" t="str">
        <f t="shared" si="50"/>
        <v>NORBERTO(7/9)</v>
      </c>
      <c r="T82" s="9">
        <f t="shared" si="51"/>
        <v>4</v>
      </c>
      <c r="U82" s="9" t="str">
        <f t="shared" si="52"/>
        <v>DJ IURY(LSJC)</v>
      </c>
      <c r="V82" s="9">
        <f t="shared" si="53"/>
        <v>2</v>
      </c>
      <c r="W82" s="9">
        <f t="shared" si="54"/>
        <v>4</v>
      </c>
    </row>
  </sheetData>
  <sheetProtection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showGridLines="0" workbookViewId="0">
      <pane ySplit="1" topLeftCell="A2" activePane="bottomLeft" state="frozen"/>
      <selection pane="bottomLeft" activeCell="A3" sqref="A3"/>
    </sheetView>
  </sheetViews>
  <sheetFormatPr defaultColWidth="10.875" defaultRowHeight="10.5" x14ac:dyDescent="0.15"/>
  <cols>
    <col min="1" max="1" width="5.125" style="25" customWidth="1"/>
    <col min="2" max="2" width="3.625" style="25" customWidth="1"/>
    <col min="3" max="3" width="7.375" style="25" customWidth="1"/>
    <col min="4" max="4" width="20.875" style="26" customWidth="1"/>
    <col min="5" max="13" width="7.375" style="25" customWidth="1"/>
    <col min="14" max="14" width="10.875" style="25"/>
    <col min="15" max="17" width="10.875" style="27"/>
    <col min="18" max="16384" width="10.875" style="24"/>
  </cols>
  <sheetData>
    <row r="1" spans="1:19" ht="20.25" x14ac:dyDescent="0.3">
      <c r="B1" s="2" t="s">
        <v>30</v>
      </c>
      <c r="S1" s="24" t="s">
        <v>39</v>
      </c>
    </row>
    <row r="2" spans="1:19" ht="12.75" x14ac:dyDescent="0.2">
      <c r="B2" s="3" t="s">
        <v>1</v>
      </c>
      <c r="S2" s="24">
        <f>SUM($G$6:$G$43)</f>
        <v>150</v>
      </c>
    </row>
    <row r="3" spans="1:19" x14ac:dyDescent="0.15">
      <c r="E3" s="28">
        <v>100000000</v>
      </c>
      <c r="F3" s="28">
        <v>100000</v>
      </c>
      <c r="H3" s="28">
        <v>10000</v>
      </c>
      <c r="K3" s="28">
        <v>1</v>
      </c>
      <c r="M3" s="28">
        <v>100</v>
      </c>
    </row>
    <row r="5" spans="1:19" ht="25.5" x14ac:dyDescent="0.5">
      <c r="A5" s="25" t="s">
        <v>31</v>
      </c>
      <c r="B5" s="25" t="s">
        <v>23</v>
      </c>
      <c r="C5" s="29" t="s">
        <v>23</v>
      </c>
      <c r="D5" s="30" t="s">
        <v>32</v>
      </c>
      <c r="E5" s="32" t="s">
        <v>33</v>
      </c>
      <c r="F5" s="32" t="s">
        <v>34</v>
      </c>
      <c r="G5" s="32" t="s">
        <v>14</v>
      </c>
      <c r="H5" s="32" t="s">
        <v>15</v>
      </c>
      <c r="I5" s="32" t="s">
        <v>16</v>
      </c>
      <c r="J5" s="32" t="s">
        <v>17</v>
      </c>
      <c r="K5" s="32" t="s">
        <v>35</v>
      </c>
      <c r="L5" s="32" t="s">
        <v>36</v>
      </c>
      <c r="M5" s="32" t="s">
        <v>37</v>
      </c>
      <c r="N5" s="31" t="s">
        <v>38</v>
      </c>
    </row>
    <row r="6" spans="1:19" x14ac:dyDescent="0.15">
      <c r="A6" s="25" t="str">
        <f t="shared" ref="A6:A11" ca="1" si="0">CONCATENATE(C6,B6)</f>
        <v>2A</v>
      </c>
      <c r="B6" s="25" t="s">
        <v>23</v>
      </c>
      <c r="C6" s="25">
        <f t="shared" ref="C6:C11" ca="1" si="1">IF(SUM($G$6:$G$11)=0,0,_xlfn.RANK.EQ(N6,$N$6:$N$11))</f>
        <v>2</v>
      </c>
      <c r="D6" s="26" t="str">
        <f>VLOOKUP($O6, Equipes!$A$3:$B$32, 2, FALSE)</f>
        <v>PABLO MARTINS(SCCP)</v>
      </c>
      <c r="E6" s="33">
        <f t="shared" ref="E6:E11" si="2">IF(G6=0,0,(F6)/(G6*3))</f>
        <v>0.53333333333333333</v>
      </c>
      <c r="F6" s="25">
        <f t="shared" ref="F6:F11" si="3">(H6*3)+(I6*1)</f>
        <v>8</v>
      </c>
      <c r="G6" s="25">
        <f>COUNTIF(Jogos!$M$1:$N$82, $D6)</f>
        <v>5</v>
      </c>
      <c r="H6" s="25">
        <f>COUNTIF(Jogos!$O$1:$O$82, $D6)</f>
        <v>2</v>
      </c>
      <c r="I6" s="25">
        <f>COUNTIF(Jogos!$P$1:$Q$82, $D6)</f>
        <v>2</v>
      </c>
      <c r="J6" s="25">
        <f>COUNTIF(Jogos!$R$1:$R$82, $D6)</f>
        <v>1</v>
      </c>
      <c r="K6" s="25">
        <f ca="1">SUMIF(Jogos!$S$1:$T$82, $D6, Jogos!$T$1:$T$82)+SUMIF(Jogos!$U$1:$V$82, $D6, Jogos!$V$1:$V$82)</f>
        <v>6</v>
      </c>
      <c r="L6" s="25">
        <f ca="1">SUMIF(Jogos!$S$1:$V$82, $D6, Jogos!$V$1:$V$82)+SUMIF(Jogos!$U$1:$W$82, $D6, Jogos!$W$1:$W$82)</f>
        <v>5</v>
      </c>
      <c r="M6" s="25">
        <f t="shared" ref="M6:M11" ca="1" si="4">K6-L6</f>
        <v>1</v>
      </c>
      <c r="N6" s="25">
        <f t="shared" ref="N6:N11" ca="1" si="5">(E6*E$3+F6*F$3+H6*H$3+M6*M$3+K6*K$3)/(E$3/100)-ROW(N6)/E$3</f>
        <v>54.153439273333341</v>
      </c>
      <c r="O6" s="27">
        <v>1</v>
      </c>
      <c r="P6" s="27">
        <f t="shared" ref="P6:P11" ca="1" si="6">(E6*E$3+F6*F$3+H6*H$3+M6*M$3+K6*K$3)/(E$3/100)</f>
        <v>54.153439333333338</v>
      </c>
      <c r="Q6" s="27">
        <f t="shared" ref="Q6:Q11" ca="1" si="7">IF(SUM($G$6:$G$11)=0,0,_xlfn.RANK.EQ(P6,$P$6:$P$11))</f>
        <v>2</v>
      </c>
    </row>
    <row r="7" spans="1:19" x14ac:dyDescent="0.15">
      <c r="A7" s="25" t="str">
        <f t="shared" ca="1" si="0"/>
        <v>4A</v>
      </c>
      <c r="B7" s="25" t="s">
        <v>23</v>
      </c>
      <c r="C7" s="25">
        <f t="shared" ca="1" si="1"/>
        <v>4</v>
      </c>
      <c r="D7" s="26" t="str">
        <f>VLOOKUP($O7, Equipes!$A$3:$B$32, 2, FALSE)</f>
        <v>PROFESSOR(LSJC)</v>
      </c>
      <c r="E7" s="33">
        <f t="shared" si="2"/>
        <v>0.4</v>
      </c>
      <c r="F7" s="25">
        <f t="shared" si="3"/>
        <v>6</v>
      </c>
      <c r="G7" s="25">
        <f>COUNTIF(Jogos!$M$1:$N$82, $D7)</f>
        <v>5</v>
      </c>
      <c r="H7" s="25">
        <f>COUNTIF(Jogos!$O$1:$O$82, $D7)</f>
        <v>1</v>
      </c>
      <c r="I7" s="25">
        <f>COUNTIF(Jogos!$P$1:$Q$82, $D7)</f>
        <v>3</v>
      </c>
      <c r="J7" s="25">
        <f>COUNTIF(Jogos!$R$1:$R$82, $D7)</f>
        <v>1</v>
      </c>
      <c r="K7" s="25">
        <f ca="1">SUMIF(Jogos!$S$1:$T$82, $D7, Jogos!$T$1:$T$82)+SUMIF(Jogos!$U$1:$V$82, $D7, Jogos!$V$1:$V$82)</f>
        <v>5</v>
      </c>
      <c r="L7" s="25">
        <f ca="1">SUMIF(Jogos!$S$1:$V$82, $D7, Jogos!$V$1:$V$82)+SUMIF(Jogos!$U$1:$W$82, $D7, Jogos!$W$1:$W$82)</f>
        <v>5</v>
      </c>
      <c r="M7" s="25">
        <f t="shared" ca="1" si="4"/>
        <v>0</v>
      </c>
      <c r="N7" s="25">
        <f t="shared" ca="1" si="5"/>
        <v>40.610004930000002</v>
      </c>
      <c r="O7" s="27">
        <v>2</v>
      </c>
      <c r="P7" s="27">
        <f t="shared" ca="1" si="6"/>
        <v>40.610005000000001</v>
      </c>
      <c r="Q7" s="27">
        <f t="shared" ca="1" si="7"/>
        <v>4</v>
      </c>
    </row>
    <row r="8" spans="1:19" x14ac:dyDescent="0.15">
      <c r="A8" s="25" t="str">
        <f t="shared" ca="1" si="0"/>
        <v>3A</v>
      </c>
      <c r="B8" s="25" t="s">
        <v>23</v>
      </c>
      <c r="C8" s="25">
        <f t="shared" ca="1" si="1"/>
        <v>3</v>
      </c>
      <c r="D8" s="26" t="str">
        <f>VLOOKUP($O8, Equipes!$A$3:$B$32, 2, FALSE)</f>
        <v>MICA(MZ)</v>
      </c>
      <c r="E8" s="33">
        <f t="shared" si="2"/>
        <v>0.53333333333333333</v>
      </c>
      <c r="F8" s="25">
        <f t="shared" si="3"/>
        <v>8</v>
      </c>
      <c r="G8" s="25">
        <f>COUNTIF(Jogos!$M$1:$N$82, $D8)</f>
        <v>5</v>
      </c>
      <c r="H8" s="25">
        <f>COUNTIF(Jogos!$O$1:$O$82, $D8)</f>
        <v>2</v>
      </c>
      <c r="I8" s="25">
        <f>COUNTIF(Jogos!$P$1:$Q$82, $D8)</f>
        <v>2</v>
      </c>
      <c r="J8" s="25">
        <f>COUNTIF(Jogos!$R$1:$R$82, $D8)</f>
        <v>1</v>
      </c>
      <c r="K8" s="25">
        <f ca="1">SUMIF(Jogos!$S$1:$T$82, $D8, Jogos!$T$1:$T$82)+SUMIF(Jogos!$U$1:$V$82, $D8, Jogos!$V$1:$V$82)</f>
        <v>4</v>
      </c>
      <c r="L8" s="25">
        <f ca="1">SUMIF(Jogos!$S$1:$V$82, $D8, Jogos!$V$1:$V$82)+SUMIF(Jogos!$U$1:$W$82, $D8, Jogos!$W$1:$W$82)</f>
        <v>4</v>
      </c>
      <c r="M8" s="25">
        <f t="shared" ca="1" si="4"/>
        <v>0</v>
      </c>
      <c r="N8" s="25">
        <f t="shared" ca="1" si="5"/>
        <v>54.153337253333333</v>
      </c>
      <c r="O8" s="27">
        <v>3</v>
      </c>
      <c r="P8" s="27">
        <f t="shared" ca="1" si="6"/>
        <v>54.153337333333333</v>
      </c>
      <c r="Q8" s="27">
        <f t="shared" ca="1" si="7"/>
        <v>3</v>
      </c>
    </row>
    <row r="9" spans="1:19" x14ac:dyDescent="0.15">
      <c r="A9" s="25" t="str">
        <f t="shared" ca="1" si="0"/>
        <v>6A</v>
      </c>
      <c r="B9" s="25" t="s">
        <v>23</v>
      </c>
      <c r="C9" s="25">
        <f t="shared" ca="1" si="1"/>
        <v>6</v>
      </c>
      <c r="D9" s="26" t="str">
        <f>VLOOKUP($O9, Equipes!$A$3:$B$32, 2, FALSE)</f>
        <v>RODRIGO MORO(SCCP)</v>
      </c>
      <c r="E9" s="33">
        <f t="shared" si="2"/>
        <v>0</v>
      </c>
      <c r="F9" s="25">
        <f t="shared" si="3"/>
        <v>0</v>
      </c>
      <c r="G9" s="25">
        <f>COUNTIF(Jogos!$M$1:$N$82, $D9)</f>
        <v>5</v>
      </c>
      <c r="H9" s="25">
        <f>COUNTIF(Jogos!$O$1:$O$82, $D9)</f>
        <v>0</v>
      </c>
      <c r="I9" s="25">
        <f>COUNTIF(Jogos!$P$1:$Q$82, $D9)</f>
        <v>0</v>
      </c>
      <c r="J9" s="25">
        <f>COUNTIF(Jogos!$R$1:$R$82, $D9)</f>
        <v>5</v>
      </c>
      <c r="K9" s="25">
        <f ca="1">SUMIF(Jogos!$S$1:$T$82, $D9, Jogos!$T$1:$T$82)+SUMIF(Jogos!$U$1:$V$82, $D9, Jogos!$V$1:$V$82)</f>
        <v>0</v>
      </c>
      <c r="L9" s="25">
        <f ca="1">SUMIF(Jogos!$S$1:$V$82, $D9, Jogos!$V$1:$V$82)+SUMIF(Jogos!$U$1:$W$82, $D9, Jogos!$W$1:$W$82)</f>
        <v>5</v>
      </c>
      <c r="M9" s="25">
        <f t="shared" ca="1" si="4"/>
        <v>-5</v>
      </c>
      <c r="N9" s="25">
        <f t="shared" ca="1" si="5"/>
        <v>-5.0009000000000002E-4</v>
      </c>
      <c r="O9" s="27">
        <v>4</v>
      </c>
      <c r="P9" s="27">
        <f t="shared" ca="1" si="6"/>
        <v>-5.0000000000000001E-4</v>
      </c>
      <c r="Q9" s="27">
        <f t="shared" ca="1" si="7"/>
        <v>6</v>
      </c>
    </row>
    <row r="10" spans="1:19" x14ac:dyDescent="0.15">
      <c r="A10" s="25" t="str">
        <f t="shared" ca="1" si="0"/>
        <v>5A</v>
      </c>
      <c r="B10" s="25" t="s">
        <v>23</v>
      </c>
      <c r="C10" s="25">
        <f t="shared" ca="1" si="1"/>
        <v>5</v>
      </c>
      <c r="D10" s="26" t="str">
        <f>VLOOKUP($O10, Equipes!$A$3:$B$32, 2, FALSE)</f>
        <v>CRISTIANO JOSÉ(LSJC)</v>
      </c>
      <c r="E10" s="33">
        <f t="shared" si="2"/>
        <v>0.33333333333333331</v>
      </c>
      <c r="F10" s="25">
        <f t="shared" si="3"/>
        <v>5</v>
      </c>
      <c r="G10" s="25">
        <f>COUNTIF(Jogos!$M$1:$N$82, $D10)</f>
        <v>5</v>
      </c>
      <c r="H10" s="25">
        <f>COUNTIF(Jogos!$O$1:$O$82, $D10)</f>
        <v>1</v>
      </c>
      <c r="I10" s="25">
        <f>COUNTIF(Jogos!$P$1:$Q$82, $D10)</f>
        <v>2</v>
      </c>
      <c r="J10" s="25">
        <f>COUNTIF(Jogos!$R$1:$R$82, $D10)</f>
        <v>2</v>
      </c>
      <c r="K10" s="25">
        <f ca="1">SUMIF(Jogos!$S$1:$T$82, $D10, Jogos!$T$1:$T$82)+SUMIF(Jogos!$U$1:$V$82, $D10, Jogos!$V$1:$V$82)</f>
        <v>5</v>
      </c>
      <c r="L10" s="25">
        <f ca="1">SUMIF(Jogos!$S$1:$V$82, $D10, Jogos!$V$1:$V$82)+SUMIF(Jogos!$U$1:$W$82, $D10, Jogos!$W$1:$W$82)</f>
        <v>7</v>
      </c>
      <c r="M10" s="25">
        <f t="shared" ca="1" si="4"/>
        <v>-2</v>
      </c>
      <c r="N10" s="25">
        <f t="shared" ca="1" si="5"/>
        <v>33.843138233333327</v>
      </c>
      <c r="O10" s="27">
        <v>5</v>
      </c>
      <c r="P10" s="27">
        <f t="shared" ca="1" si="6"/>
        <v>33.843138333333329</v>
      </c>
      <c r="Q10" s="27">
        <f t="shared" ca="1" si="7"/>
        <v>5</v>
      </c>
    </row>
    <row r="11" spans="1:19" x14ac:dyDescent="0.15">
      <c r="A11" s="25" t="str">
        <f t="shared" ca="1" si="0"/>
        <v>1A</v>
      </c>
      <c r="B11" s="25" t="s">
        <v>23</v>
      </c>
      <c r="C11" s="25">
        <f t="shared" ca="1" si="1"/>
        <v>1</v>
      </c>
      <c r="D11" s="26" t="str">
        <f>VLOOKUP($O11, Equipes!$A$3:$B$32, 2, FALSE)</f>
        <v>DIOGO(2004)</v>
      </c>
      <c r="E11" s="33">
        <f t="shared" si="2"/>
        <v>0.8666666666666667</v>
      </c>
      <c r="F11" s="25">
        <f t="shared" si="3"/>
        <v>13</v>
      </c>
      <c r="G11" s="25">
        <f>COUNTIF(Jogos!$M$1:$N$82, $D11)</f>
        <v>5</v>
      </c>
      <c r="H11" s="25">
        <f>COUNTIF(Jogos!$O$1:$O$82, $D11)</f>
        <v>4</v>
      </c>
      <c r="I11" s="25">
        <f>COUNTIF(Jogos!$P$1:$Q$82, $D11)</f>
        <v>1</v>
      </c>
      <c r="J11" s="25">
        <f>COUNTIF(Jogos!$R$1:$R$82, $D11)</f>
        <v>0</v>
      </c>
      <c r="K11" s="25">
        <f ca="1">SUMIF(Jogos!$S$1:$T$82, $D11, Jogos!$T$1:$T$82)+SUMIF(Jogos!$U$1:$V$82, $D11, Jogos!$V$1:$V$82)</f>
        <v>10</v>
      </c>
      <c r="L11" s="25">
        <f ca="1">SUMIF(Jogos!$S$1:$V$82, $D11, Jogos!$V$1:$V$82)+SUMIF(Jogos!$U$1:$W$82, $D11, Jogos!$W$1:$W$82)</f>
        <v>4</v>
      </c>
      <c r="M11" s="25">
        <f t="shared" ca="1" si="4"/>
        <v>6</v>
      </c>
      <c r="N11" s="25">
        <f t="shared" ca="1" si="5"/>
        <v>88.007276556666667</v>
      </c>
      <c r="O11" s="27">
        <v>6</v>
      </c>
      <c r="P11" s="27">
        <f t="shared" ca="1" si="6"/>
        <v>88.007276666666669</v>
      </c>
      <c r="Q11" s="27">
        <f t="shared" ca="1" si="7"/>
        <v>1</v>
      </c>
    </row>
    <row r="13" spans="1:19" ht="25.5" x14ac:dyDescent="0.5">
      <c r="A13" s="25" t="s">
        <v>31</v>
      </c>
      <c r="B13" s="25" t="s">
        <v>24</v>
      </c>
      <c r="C13" s="29" t="s">
        <v>24</v>
      </c>
      <c r="D13" s="30" t="s">
        <v>32</v>
      </c>
      <c r="E13" s="32" t="s">
        <v>33</v>
      </c>
      <c r="F13" s="32" t="s">
        <v>34</v>
      </c>
      <c r="G13" s="32" t="s">
        <v>14</v>
      </c>
      <c r="H13" s="32" t="s">
        <v>15</v>
      </c>
      <c r="I13" s="32" t="s">
        <v>16</v>
      </c>
      <c r="J13" s="32" t="s">
        <v>17</v>
      </c>
      <c r="K13" s="32" t="s">
        <v>35</v>
      </c>
      <c r="L13" s="32" t="s">
        <v>36</v>
      </c>
      <c r="M13" s="32" t="s">
        <v>37</v>
      </c>
      <c r="N13" s="31" t="s">
        <v>38</v>
      </c>
    </row>
    <row r="14" spans="1:19" x14ac:dyDescent="0.15">
      <c r="A14" s="25" t="str">
        <f t="shared" ref="A14:A19" ca="1" si="8">CONCATENATE(C14,B14)</f>
        <v>2B</v>
      </c>
      <c r="B14" s="25" t="s">
        <v>24</v>
      </c>
      <c r="C14" s="25">
        <f t="shared" ref="C14:C19" ca="1" si="9">IF(SUM($G$14:$G$19)=0,0,_xlfn.RANK.EQ(N14,$N$14:$N$19))</f>
        <v>2</v>
      </c>
      <c r="D14" s="26" t="str">
        <f>VLOOKUP($O14, Equipes!$A$3:$B$32, 2, FALSE)</f>
        <v>MARCOS WILLOW(SCCP)</v>
      </c>
      <c r="E14" s="33">
        <f t="shared" ref="E14:E19" si="10">IF(G14=0,0,(F14)/(G14*3))</f>
        <v>0.73333333333333328</v>
      </c>
      <c r="F14" s="25">
        <f t="shared" ref="F14:F19" si="11">(H14*3)+(I14*1)</f>
        <v>11</v>
      </c>
      <c r="G14" s="25">
        <f>COUNTIF(Jogos!$M$1:$N$82, $D14)</f>
        <v>5</v>
      </c>
      <c r="H14" s="25">
        <f>COUNTIF(Jogos!$O$1:$O$82, $D14)</f>
        <v>3</v>
      </c>
      <c r="I14" s="25">
        <f>COUNTIF(Jogos!$P$1:$Q$82, $D14)</f>
        <v>2</v>
      </c>
      <c r="J14" s="25">
        <f>COUNTIF(Jogos!$R$1:$R$82, $D14)</f>
        <v>0</v>
      </c>
      <c r="K14" s="25">
        <f ca="1">SUMIF(Jogos!$S$1:$T$82, $D14, Jogos!$T$1:$T$82)+SUMIF(Jogos!$U$1:$V$82, $D14, Jogos!$V$1:$V$82)</f>
        <v>10</v>
      </c>
      <c r="L14" s="25">
        <f ca="1">SUMIF(Jogos!$S$1:$V$82, $D14, Jogos!$V$1:$V$82)+SUMIF(Jogos!$U$1:$W$82, $D14, Jogos!$W$1:$W$82)</f>
        <v>4</v>
      </c>
      <c r="M14" s="25">
        <f t="shared" ref="M14:M19" ca="1" si="12">K14-L14</f>
        <v>6</v>
      </c>
      <c r="N14" s="25">
        <f t="shared" ref="N14:N19" ca="1" si="13">(E14*E$3+F14*F$3+H14*H$3+M14*M$3+K14*K$3)/(E$3/100)-ROW(N14)/E$3</f>
        <v>74.463943193333336</v>
      </c>
      <c r="O14" s="27">
        <v>7</v>
      </c>
      <c r="P14" s="27">
        <f t="shared" ref="P14:P19" ca="1" si="14">(E14*E$3+F14*F$3+H14*H$3+M14*M$3+K14*K$3)/(E$3/100)</f>
        <v>74.463943333333333</v>
      </c>
      <c r="Q14" s="27">
        <f t="shared" ref="Q14:Q19" ca="1" si="15">IF(SUM($G$14:$G$19)=0,0,_xlfn.RANK.EQ(P14,$P$14:$P$19))</f>
        <v>2</v>
      </c>
    </row>
    <row r="15" spans="1:19" x14ac:dyDescent="0.15">
      <c r="A15" s="25" t="str">
        <f t="shared" ca="1" si="8"/>
        <v>6B</v>
      </c>
      <c r="B15" s="25" t="s">
        <v>24</v>
      </c>
      <c r="C15" s="25">
        <f t="shared" ca="1" si="9"/>
        <v>6</v>
      </c>
      <c r="D15" s="26" t="str">
        <f>VLOOKUP($O15, Equipes!$A$3:$B$32, 2, FALSE)</f>
        <v>MURA(MZ)</v>
      </c>
      <c r="E15" s="33">
        <f t="shared" si="10"/>
        <v>0</v>
      </c>
      <c r="F15" s="25">
        <f t="shared" si="11"/>
        <v>0</v>
      </c>
      <c r="G15" s="25">
        <f>COUNTIF(Jogos!$M$1:$N$82, $D15)</f>
        <v>5</v>
      </c>
      <c r="H15" s="25">
        <f>COUNTIF(Jogos!$O$1:$O$82, $D15)</f>
        <v>0</v>
      </c>
      <c r="I15" s="25">
        <f>COUNTIF(Jogos!$P$1:$Q$82, $D15)</f>
        <v>0</v>
      </c>
      <c r="J15" s="25">
        <f>COUNTIF(Jogos!$R$1:$R$82, $D15)</f>
        <v>5</v>
      </c>
      <c r="K15" s="25">
        <f ca="1">SUMIF(Jogos!$S$1:$T$82, $D15, Jogos!$T$1:$T$82)+SUMIF(Jogos!$U$1:$V$82, $D15, Jogos!$V$1:$V$82)</f>
        <v>3</v>
      </c>
      <c r="L15" s="25">
        <f ca="1">SUMIF(Jogos!$S$1:$V$82, $D15, Jogos!$V$1:$V$82)+SUMIF(Jogos!$U$1:$W$82, $D15, Jogos!$W$1:$W$82)</f>
        <v>8</v>
      </c>
      <c r="M15" s="25">
        <f t="shared" ca="1" si="12"/>
        <v>-5</v>
      </c>
      <c r="N15" s="25">
        <f t="shared" ca="1" si="13"/>
        <v>-4.9715000000000002E-4</v>
      </c>
      <c r="O15" s="27">
        <v>8</v>
      </c>
      <c r="P15" s="27">
        <f t="shared" ca="1" si="14"/>
        <v>-4.9700000000000005E-4</v>
      </c>
      <c r="Q15" s="27">
        <f t="shared" ca="1" si="15"/>
        <v>6</v>
      </c>
    </row>
    <row r="16" spans="1:19" x14ac:dyDescent="0.15">
      <c r="A16" s="25" t="str">
        <f t="shared" ca="1" si="8"/>
        <v>4B</v>
      </c>
      <c r="B16" s="25" t="s">
        <v>24</v>
      </c>
      <c r="C16" s="25">
        <f t="shared" ca="1" si="9"/>
        <v>4</v>
      </c>
      <c r="D16" s="26" t="str">
        <f>VLOOKUP($O16, Equipes!$A$3:$B$32, 2, FALSE)</f>
        <v>MARIELCIO(LSJC)</v>
      </c>
      <c r="E16" s="33">
        <f t="shared" si="10"/>
        <v>0.46666666666666667</v>
      </c>
      <c r="F16" s="25">
        <f t="shared" si="11"/>
        <v>7</v>
      </c>
      <c r="G16" s="25">
        <f>COUNTIF(Jogos!$M$1:$N$82, $D16)</f>
        <v>5</v>
      </c>
      <c r="H16" s="25">
        <f>COUNTIF(Jogos!$O$1:$O$82, $D16)</f>
        <v>2</v>
      </c>
      <c r="I16" s="25">
        <f>COUNTIF(Jogos!$P$1:$Q$82, $D16)</f>
        <v>1</v>
      </c>
      <c r="J16" s="25">
        <f>COUNTIF(Jogos!$R$1:$R$82, $D16)</f>
        <v>2</v>
      </c>
      <c r="K16" s="25">
        <f ca="1">SUMIF(Jogos!$S$1:$T$82, $D16, Jogos!$T$1:$T$82)+SUMIF(Jogos!$U$1:$V$82, $D16, Jogos!$V$1:$V$82)</f>
        <v>8</v>
      </c>
      <c r="L16" s="25">
        <f ca="1">SUMIF(Jogos!$S$1:$V$82, $D16, Jogos!$V$1:$V$82)+SUMIF(Jogos!$U$1:$W$82, $D16, Jogos!$W$1:$W$82)</f>
        <v>9</v>
      </c>
      <c r="M16" s="25">
        <f t="shared" ca="1" si="12"/>
        <v>-1</v>
      </c>
      <c r="N16" s="25">
        <f t="shared" ca="1" si="13"/>
        <v>47.386574506666662</v>
      </c>
      <c r="O16" s="27">
        <v>9</v>
      </c>
      <c r="P16" s="27">
        <f t="shared" ca="1" si="14"/>
        <v>47.386574666666661</v>
      </c>
      <c r="Q16" s="27">
        <f t="shared" ca="1" si="15"/>
        <v>4</v>
      </c>
    </row>
    <row r="17" spans="1:17" x14ac:dyDescent="0.15">
      <c r="A17" s="25" t="str">
        <f t="shared" ca="1" si="8"/>
        <v>3B</v>
      </c>
      <c r="B17" s="25" t="s">
        <v>24</v>
      </c>
      <c r="C17" s="25">
        <f t="shared" ca="1" si="9"/>
        <v>3</v>
      </c>
      <c r="D17" s="26" t="str">
        <f>VLOOKUP($O17, Equipes!$A$3:$B$32, 2, FALSE)</f>
        <v>TERUEL(SCCP)</v>
      </c>
      <c r="E17" s="33">
        <f t="shared" si="10"/>
        <v>0.6</v>
      </c>
      <c r="F17" s="25">
        <f t="shared" si="11"/>
        <v>9</v>
      </c>
      <c r="G17" s="25">
        <f>COUNTIF(Jogos!$M$1:$N$82, $D17)</f>
        <v>5</v>
      </c>
      <c r="H17" s="25">
        <f>COUNTIF(Jogos!$O$1:$O$82, $D17)</f>
        <v>3</v>
      </c>
      <c r="I17" s="25">
        <f>COUNTIF(Jogos!$P$1:$Q$82, $D17)</f>
        <v>0</v>
      </c>
      <c r="J17" s="25">
        <f>COUNTIF(Jogos!$R$1:$R$82, $D17)</f>
        <v>2</v>
      </c>
      <c r="K17" s="25">
        <f ca="1">SUMIF(Jogos!$S$1:$T$82, $D17, Jogos!$T$1:$T$82)+SUMIF(Jogos!$U$1:$V$82, $D17, Jogos!$V$1:$V$82)</f>
        <v>7</v>
      </c>
      <c r="L17" s="25">
        <f ca="1">SUMIF(Jogos!$S$1:$V$82, $D17, Jogos!$V$1:$V$82)+SUMIF(Jogos!$U$1:$W$82, $D17, Jogos!$W$1:$W$82)</f>
        <v>8</v>
      </c>
      <c r="M17" s="25">
        <f t="shared" ca="1" si="12"/>
        <v>-1</v>
      </c>
      <c r="N17" s="25">
        <f t="shared" ca="1" si="13"/>
        <v>60.92990683</v>
      </c>
      <c r="O17" s="27">
        <v>10</v>
      </c>
      <c r="P17" s="27">
        <f t="shared" ca="1" si="14"/>
        <v>60.929907</v>
      </c>
      <c r="Q17" s="27">
        <f t="shared" ca="1" si="15"/>
        <v>3</v>
      </c>
    </row>
    <row r="18" spans="1:17" x14ac:dyDescent="0.15">
      <c r="A18" s="25" t="str">
        <f t="shared" ca="1" si="8"/>
        <v>5B</v>
      </c>
      <c r="B18" s="25" t="s">
        <v>24</v>
      </c>
      <c r="C18" s="25">
        <f t="shared" ca="1" si="9"/>
        <v>5</v>
      </c>
      <c r="D18" s="26" t="str">
        <f>VLOOKUP($O18, Equipes!$A$3:$B$32, 2, FALSE)</f>
        <v>LÉO CARIOCA(MZ)</v>
      </c>
      <c r="E18" s="33">
        <f t="shared" si="10"/>
        <v>0.26666666666666666</v>
      </c>
      <c r="F18" s="25">
        <f t="shared" si="11"/>
        <v>4</v>
      </c>
      <c r="G18" s="25">
        <f>COUNTIF(Jogos!$M$1:$N$82, $D18)</f>
        <v>5</v>
      </c>
      <c r="H18" s="25">
        <f>COUNTIF(Jogos!$O$1:$O$82, $D18)</f>
        <v>1</v>
      </c>
      <c r="I18" s="25">
        <f>COUNTIF(Jogos!$P$1:$Q$82, $D18)</f>
        <v>1</v>
      </c>
      <c r="J18" s="25">
        <f>COUNTIF(Jogos!$R$1:$R$82, $D18)</f>
        <v>3</v>
      </c>
      <c r="K18" s="25">
        <f ca="1">SUMIF(Jogos!$S$1:$T$82, $D18, Jogos!$T$1:$T$82)+SUMIF(Jogos!$U$1:$V$82, $D18, Jogos!$V$1:$V$82)</f>
        <v>4</v>
      </c>
      <c r="L18" s="25">
        <f ca="1">SUMIF(Jogos!$S$1:$V$82, $D18, Jogos!$V$1:$V$82)+SUMIF(Jogos!$U$1:$W$82, $D18, Jogos!$W$1:$W$82)</f>
        <v>7</v>
      </c>
      <c r="M18" s="25">
        <f t="shared" ca="1" si="12"/>
        <v>-3</v>
      </c>
      <c r="N18" s="25">
        <f t="shared" ca="1" si="13"/>
        <v>27.076370486666669</v>
      </c>
      <c r="O18" s="27">
        <v>11</v>
      </c>
      <c r="P18" s="27">
        <f t="shared" ca="1" si="14"/>
        <v>27.076370666666669</v>
      </c>
      <c r="Q18" s="27">
        <f t="shared" ca="1" si="15"/>
        <v>5</v>
      </c>
    </row>
    <row r="19" spans="1:17" x14ac:dyDescent="0.15">
      <c r="A19" s="25" t="str">
        <f t="shared" ca="1" si="8"/>
        <v>1B</v>
      </c>
      <c r="B19" s="25" t="s">
        <v>24</v>
      </c>
      <c r="C19" s="25">
        <f t="shared" ca="1" si="9"/>
        <v>1</v>
      </c>
      <c r="D19" s="26" t="str">
        <f>VLOOKUP($O19, Equipes!$A$3:$B$32, 2, FALSE)</f>
        <v>MARCÃO SILVA(SPFC)</v>
      </c>
      <c r="E19" s="33">
        <f t="shared" si="10"/>
        <v>0.8</v>
      </c>
      <c r="F19" s="25">
        <f t="shared" si="11"/>
        <v>12</v>
      </c>
      <c r="G19" s="25">
        <f>COUNTIF(Jogos!$M$1:$N$82, $D19)</f>
        <v>5</v>
      </c>
      <c r="H19" s="25">
        <f>COUNTIF(Jogos!$O$1:$O$82, $D19)</f>
        <v>4</v>
      </c>
      <c r="I19" s="25">
        <f>COUNTIF(Jogos!$P$1:$Q$82, $D19)</f>
        <v>0</v>
      </c>
      <c r="J19" s="25">
        <f>COUNTIF(Jogos!$R$1:$R$82, $D19)</f>
        <v>1</v>
      </c>
      <c r="K19" s="25">
        <f ca="1">SUMIF(Jogos!$S$1:$T$82, $D19, Jogos!$T$1:$T$82)+SUMIF(Jogos!$U$1:$V$82, $D19, Jogos!$V$1:$V$82)</f>
        <v>9</v>
      </c>
      <c r="L19" s="25">
        <f ca="1">SUMIF(Jogos!$S$1:$V$82, $D19, Jogos!$V$1:$V$82)+SUMIF(Jogos!$U$1:$W$82, $D19, Jogos!$W$1:$W$82)</f>
        <v>5</v>
      </c>
      <c r="M19" s="25">
        <f t="shared" ca="1" si="12"/>
        <v>4</v>
      </c>
      <c r="N19" s="25">
        <f t="shared" ca="1" si="13"/>
        <v>81.240408810000005</v>
      </c>
      <c r="O19" s="27">
        <v>12</v>
      </c>
      <c r="P19" s="27">
        <f t="shared" ca="1" si="14"/>
        <v>81.240409</v>
      </c>
      <c r="Q19" s="27">
        <f t="shared" ca="1" si="15"/>
        <v>1</v>
      </c>
    </row>
    <row r="21" spans="1:17" ht="25.5" x14ac:dyDescent="0.5">
      <c r="A21" s="25" t="s">
        <v>31</v>
      </c>
      <c r="B21" s="25" t="s">
        <v>25</v>
      </c>
      <c r="C21" s="29" t="s">
        <v>25</v>
      </c>
      <c r="D21" s="30" t="s">
        <v>32</v>
      </c>
      <c r="E21" s="32" t="s">
        <v>33</v>
      </c>
      <c r="F21" s="32" t="s">
        <v>34</v>
      </c>
      <c r="G21" s="32" t="s">
        <v>14</v>
      </c>
      <c r="H21" s="32" t="s">
        <v>15</v>
      </c>
      <c r="I21" s="32" t="s">
        <v>16</v>
      </c>
      <c r="J21" s="32" t="s">
        <v>17</v>
      </c>
      <c r="K21" s="32" t="s">
        <v>35</v>
      </c>
      <c r="L21" s="32" t="s">
        <v>36</v>
      </c>
      <c r="M21" s="32" t="s">
        <v>37</v>
      </c>
      <c r="N21" s="31" t="s">
        <v>38</v>
      </c>
    </row>
    <row r="22" spans="1:17" x14ac:dyDescent="0.15">
      <c r="A22" s="25" t="str">
        <f t="shared" ref="A22:A27" ca="1" si="16">CONCATENATE(C22,B22)</f>
        <v>5C</v>
      </c>
      <c r="B22" s="25" t="s">
        <v>25</v>
      </c>
      <c r="C22" s="25">
        <f t="shared" ref="C22:C27" ca="1" si="17">IF(SUM($G$22:$G$27)=0,0,_xlfn.RANK.EQ(N22,$N$22:$N$27))</f>
        <v>5</v>
      </c>
      <c r="D22" s="26" t="str">
        <f>VLOOKUP($O22, Equipes!$A$3:$B$32, 2, FALSE)</f>
        <v>SALLYS(SCCP)</v>
      </c>
      <c r="E22" s="33">
        <f t="shared" ref="E22:E27" si="18">IF(G22=0,0,(F22)/(G22*3))</f>
        <v>0.26666666666666666</v>
      </c>
      <c r="F22" s="25">
        <f t="shared" ref="F22:F27" si="19">(H22*3)+(I22*1)</f>
        <v>4</v>
      </c>
      <c r="G22" s="25">
        <f>COUNTIF(Jogos!$M$1:$N$82, $D22)</f>
        <v>5</v>
      </c>
      <c r="H22" s="25">
        <f>COUNTIF(Jogos!$O$1:$O$82, $D22)</f>
        <v>1</v>
      </c>
      <c r="I22" s="25">
        <f>COUNTIF(Jogos!$P$1:$Q$82, $D22)</f>
        <v>1</v>
      </c>
      <c r="J22" s="25">
        <f>COUNTIF(Jogos!$R$1:$R$82, $D22)</f>
        <v>3</v>
      </c>
      <c r="K22" s="25">
        <f ca="1">SUMIF(Jogos!$S$1:$T$82, $D22, Jogos!$T$1:$T$82)+SUMIF(Jogos!$U$1:$V$82, $D22, Jogos!$V$1:$V$82)</f>
        <v>7</v>
      </c>
      <c r="L22" s="25">
        <f ca="1">SUMIF(Jogos!$S$1:$V$82, $D22, Jogos!$V$1:$V$82)+SUMIF(Jogos!$U$1:$W$82, $D22, Jogos!$W$1:$W$82)</f>
        <v>15</v>
      </c>
      <c r="M22" s="25">
        <f t="shared" ref="M22:M27" ca="1" si="20">K22-L22</f>
        <v>-8</v>
      </c>
      <c r="N22" s="25">
        <f t="shared" ref="N22:N27" ca="1" si="21">(E22*E$3+F22*F$3+H22*H$3+M22*M$3+K22*K$3)/(E$3/100)-ROW(N22)/E$3</f>
        <v>27.075873446666666</v>
      </c>
      <c r="O22" s="27">
        <v>13</v>
      </c>
      <c r="P22" s="27">
        <f t="shared" ref="P22:P27" ca="1" si="22">(E22*E$3+F22*F$3+H22*H$3+M22*M$3+K22*K$3)/(E$3/100)</f>
        <v>27.075873666666666</v>
      </c>
      <c r="Q22" s="27">
        <f t="shared" ref="Q22:Q27" ca="1" si="23">IF(SUM($G$22:$G$27)=0,0,_xlfn.RANK.EQ(P22,$P$22:$P$27))</f>
        <v>5</v>
      </c>
    </row>
    <row r="23" spans="1:17" x14ac:dyDescent="0.15">
      <c r="A23" s="25" t="str">
        <f t="shared" ca="1" si="16"/>
        <v>4C</v>
      </c>
      <c r="B23" s="25" t="s">
        <v>25</v>
      </c>
      <c r="C23" s="25">
        <f t="shared" ca="1" si="17"/>
        <v>4</v>
      </c>
      <c r="D23" s="26" t="str">
        <f>VLOOKUP($O23, Equipes!$A$3:$B$32, 2, FALSE)</f>
        <v>ERISMAR(MZ)</v>
      </c>
      <c r="E23" s="33">
        <f t="shared" si="18"/>
        <v>0.53333333333333333</v>
      </c>
      <c r="F23" s="25">
        <f t="shared" si="19"/>
        <v>8</v>
      </c>
      <c r="G23" s="25">
        <f>COUNTIF(Jogos!$M$1:$N$82, $D23)</f>
        <v>5</v>
      </c>
      <c r="H23" s="25">
        <f>COUNTIF(Jogos!$O$1:$O$82, $D23)</f>
        <v>2</v>
      </c>
      <c r="I23" s="25">
        <f>COUNTIF(Jogos!$P$1:$Q$82, $D23)</f>
        <v>2</v>
      </c>
      <c r="J23" s="25">
        <f>COUNTIF(Jogos!$R$1:$R$82, $D23)</f>
        <v>1</v>
      </c>
      <c r="K23" s="25">
        <f ca="1">SUMIF(Jogos!$S$1:$T$82, $D23, Jogos!$T$1:$T$82)+SUMIF(Jogos!$U$1:$V$82, $D23, Jogos!$V$1:$V$82)</f>
        <v>9</v>
      </c>
      <c r="L23" s="25">
        <f ca="1">SUMIF(Jogos!$S$1:$V$82, $D23, Jogos!$V$1:$V$82)+SUMIF(Jogos!$U$1:$W$82, $D23, Jogos!$W$1:$W$82)</f>
        <v>7</v>
      </c>
      <c r="M23" s="25">
        <f t="shared" ca="1" si="20"/>
        <v>2</v>
      </c>
      <c r="N23" s="25">
        <f t="shared" ca="1" si="21"/>
        <v>54.153542103333336</v>
      </c>
      <c r="O23" s="27">
        <v>14</v>
      </c>
      <c r="P23" s="27">
        <f t="shared" ca="1" si="22"/>
        <v>54.153542333333334</v>
      </c>
      <c r="Q23" s="27">
        <f t="shared" ca="1" si="23"/>
        <v>4</v>
      </c>
    </row>
    <row r="24" spans="1:17" x14ac:dyDescent="0.15">
      <c r="A24" s="25" t="str">
        <f t="shared" ca="1" si="16"/>
        <v>6C</v>
      </c>
      <c r="B24" s="25" t="s">
        <v>25</v>
      </c>
      <c r="C24" s="25">
        <f t="shared" ca="1" si="17"/>
        <v>6</v>
      </c>
      <c r="D24" s="26" t="str">
        <f>VLOOKUP($O24, Equipes!$A$3:$B$32, 2, FALSE)</f>
        <v>LUIZ MOREIRA(LSJC)</v>
      </c>
      <c r="E24" s="33">
        <f t="shared" si="18"/>
        <v>0</v>
      </c>
      <c r="F24" s="25">
        <f t="shared" si="19"/>
        <v>0</v>
      </c>
      <c r="G24" s="25">
        <f>COUNTIF(Jogos!$M$1:$N$82, $D24)</f>
        <v>5</v>
      </c>
      <c r="H24" s="25">
        <f>COUNTIF(Jogos!$O$1:$O$82, $D24)</f>
        <v>0</v>
      </c>
      <c r="I24" s="25">
        <f>COUNTIF(Jogos!$P$1:$Q$82, $D24)</f>
        <v>0</v>
      </c>
      <c r="J24" s="25">
        <f>COUNTIF(Jogos!$R$1:$R$82, $D24)</f>
        <v>5</v>
      </c>
      <c r="K24" s="25">
        <f ca="1">SUMIF(Jogos!$S$1:$T$82, $D24, Jogos!$T$1:$T$82)+SUMIF(Jogos!$U$1:$V$82, $D24, Jogos!$V$1:$V$82)</f>
        <v>6</v>
      </c>
      <c r="L24" s="25">
        <f ca="1">SUMIF(Jogos!$S$1:$V$82, $D24, Jogos!$V$1:$V$82)+SUMIF(Jogos!$U$1:$W$82, $D24, Jogos!$W$1:$W$82)</f>
        <v>17</v>
      </c>
      <c r="M24" s="25">
        <f t="shared" ca="1" si="20"/>
        <v>-11</v>
      </c>
      <c r="N24" s="25">
        <f t="shared" ca="1" si="21"/>
        <v>-1.09424E-3</v>
      </c>
      <c r="O24" s="27">
        <v>15</v>
      </c>
      <c r="P24" s="27">
        <f t="shared" ca="1" si="22"/>
        <v>-1.0939999999999999E-3</v>
      </c>
      <c r="Q24" s="27">
        <f t="shared" ca="1" si="23"/>
        <v>6</v>
      </c>
    </row>
    <row r="25" spans="1:17" x14ac:dyDescent="0.15">
      <c r="A25" s="25" t="str">
        <f t="shared" ca="1" si="16"/>
        <v>3C</v>
      </c>
      <c r="B25" s="25" t="s">
        <v>25</v>
      </c>
      <c r="C25" s="25">
        <f t="shared" ca="1" si="17"/>
        <v>3</v>
      </c>
      <c r="D25" s="26" t="str">
        <f>VLOOKUP($O25, Equipes!$A$3:$B$32, 2, FALSE)</f>
        <v>VINICIUS ROLIM(SCCP)</v>
      </c>
      <c r="E25" s="33">
        <f t="shared" si="18"/>
        <v>0.6</v>
      </c>
      <c r="F25" s="25">
        <f t="shared" si="19"/>
        <v>9</v>
      </c>
      <c r="G25" s="25">
        <f>COUNTIF(Jogos!$M$1:$N$82, $D25)</f>
        <v>5</v>
      </c>
      <c r="H25" s="25">
        <f>COUNTIF(Jogos!$O$1:$O$82, $D25)</f>
        <v>3</v>
      </c>
      <c r="I25" s="25">
        <f>COUNTIF(Jogos!$P$1:$Q$82, $D25)</f>
        <v>0</v>
      </c>
      <c r="J25" s="25">
        <f>COUNTIF(Jogos!$R$1:$R$82, $D25)</f>
        <v>2</v>
      </c>
      <c r="K25" s="25">
        <f ca="1">SUMIF(Jogos!$S$1:$T$82, $D25, Jogos!$T$1:$T$82)+SUMIF(Jogos!$U$1:$V$82, $D25, Jogos!$V$1:$V$82)</f>
        <v>17</v>
      </c>
      <c r="L25" s="25">
        <f ca="1">SUMIF(Jogos!$S$1:$V$82, $D25, Jogos!$V$1:$V$82)+SUMIF(Jogos!$U$1:$W$82, $D25, Jogos!$W$1:$W$82)</f>
        <v>9</v>
      </c>
      <c r="M25" s="25">
        <f t="shared" ca="1" si="20"/>
        <v>8</v>
      </c>
      <c r="N25" s="25">
        <f t="shared" ca="1" si="21"/>
        <v>60.930816749999998</v>
      </c>
      <c r="O25" s="27">
        <v>16</v>
      </c>
      <c r="P25" s="27">
        <f t="shared" ca="1" si="22"/>
        <v>60.930816999999998</v>
      </c>
      <c r="Q25" s="27">
        <f t="shared" ca="1" si="23"/>
        <v>3</v>
      </c>
    </row>
    <row r="26" spans="1:17" x14ac:dyDescent="0.15">
      <c r="A26" s="25" t="str">
        <f t="shared" ca="1" si="16"/>
        <v>1C</v>
      </c>
      <c r="B26" s="25" t="s">
        <v>25</v>
      </c>
      <c r="C26" s="25">
        <f t="shared" ca="1" si="17"/>
        <v>1</v>
      </c>
      <c r="D26" s="26" t="str">
        <f>VLOOKUP($O26, Equipes!$A$3:$B$32, 2, FALSE)</f>
        <v>RUAS(2004)</v>
      </c>
      <c r="E26" s="33">
        <f t="shared" si="18"/>
        <v>0.73333333333333328</v>
      </c>
      <c r="F26" s="25">
        <f t="shared" si="19"/>
        <v>11</v>
      </c>
      <c r="G26" s="25">
        <f>COUNTIF(Jogos!$M$1:$N$82, $D26)</f>
        <v>5</v>
      </c>
      <c r="H26" s="25">
        <f>COUNTIF(Jogos!$O$1:$O$82, $D26)</f>
        <v>3</v>
      </c>
      <c r="I26" s="25">
        <f>COUNTIF(Jogos!$P$1:$Q$82, $D26)</f>
        <v>2</v>
      </c>
      <c r="J26" s="25">
        <f>COUNTIF(Jogos!$R$1:$R$82, $D26)</f>
        <v>0</v>
      </c>
      <c r="K26" s="25">
        <f ca="1">SUMIF(Jogos!$S$1:$T$82, $D26, Jogos!$T$1:$T$82)+SUMIF(Jogos!$U$1:$V$82, $D26, Jogos!$V$1:$V$82)</f>
        <v>10</v>
      </c>
      <c r="L26" s="25">
        <f ca="1">SUMIF(Jogos!$S$1:$V$82, $D26, Jogos!$V$1:$V$82)+SUMIF(Jogos!$U$1:$W$82, $D26, Jogos!$W$1:$W$82)</f>
        <v>4</v>
      </c>
      <c r="M26" s="25">
        <f t="shared" ca="1" si="20"/>
        <v>6</v>
      </c>
      <c r="N26" s="25">
        <f t="shared" ca="1" si="21"/>
        <v>74.46394307333334</v>
      </c>
      <c r="O26" s="27">
        <v>17</v>
      </c>
      <c r="P26" s="27">
        <f t="shared" ca="1" si="22"/>
        <v>74.463943333333333</v>
      </c>
      <c r="Q26" s="27">
        <f t="shared" ca="1" si="23"/>
        <v>1</v>
      </c>
    </row>
    <row r="27" spans="1:17" x14ac:dyDescent="0.15">
      <c r="A27" s="25" t="str">
        <f t="shared" ca="1" si="16"/>
        <v>2C</v>
      </c>
      <c r="B27" s="25" t="s">
        <v>25</v>
      </c>
      <c r="C27" s="25">
        <f t="shared" ca="1" si="17"/>
        <v>2</v>
      </c>
      <c r="D27" s="26" t="str">
        <f>VLOOKUP($O27, Equipes!$A$3:$B$32, 2, FALSE)</f>
        <v>ELSIO(SPFC)</v>
      </c>
      <c r="E27" s="33">
        <f t="shared" si="18"/>
        <v>0.66666666666666663</v>
      </c>
      <c r="F27" s="25">
        <f t="shared" si="19"/>
        <v>10</v>
      </c>
      <c r="G27" s="25">
        <f>COUNTIF(Jogos!$M$1:$N$82, $D27)</f>
        <v>5</v>
      </c>
      <c r="H27" s="25">
        <f>COUNTIF(Jogos!$O$1:$O$82, $D27)</f>
        <v>3</v>
      </c>
      <c r="I27" s="25">
        <f>COUNTIF(Jogos!$P$1:$Q$82, $D27)</f>
        <v>1</v>
      </c>
      <c r="J27" s="25">
        <f>COUNTIF(Jogos!$R$1:$R$82, $D27)</f>
        <v>1</v>
      </c>
      <c r="K27" s="25">
        <f ca="1">SUMIF(Jogos!$S$1:$T$82, $D27, Jogos!$T$1:$T$82)+SUMIF(Jogos!$U$1:$V$82, $D27, Jogos!$V$1:$V$82)</f>
        <v>12</v>
      </c>
      <c r="L27" s="25">
        <f ca="1">SUMIF(Jogos!$S$1:$V$82, $D27, Jogos!$V$1:$V$82)+SUMIF(Jogos!$U$1:$W$82, $D27, Jogos!$W$1:$W$82)</f>
        <v>9</v>
      </c>
      <c r="M27" s="25">
        <f t="shared" ca="1" si="20"/>
        <v>3</v>
      </c>
      <c r="N27" s="25">
        <f t="shared" ca="1" si="21"/>
        <v>67.696978396666651</v>
      </c>
      <c r="O27" s="27">
        <v>18</v>
      </c>
      <c r="P27" s="27">
        <f t="shared" ca="1" si="22"/>
        <v>67.696978666666652</v>
      </c>
      <c r="Q27" s="27">
        <f t="shared" ca="1" si="23"/>
        <v>2</v>
      </c>
    </row>
    <row r="29" spans="1:17" ht="25.5" x14ac:dyDescent="0.5">
      <c r="A29" s="25" t="s">
        <v>31</v>
      </c>
      <c r="B29" s="25" t="s">
        <v>17</v>
      </c>
      <c r="C29" s="29" t="s">
        <v>17</v>
      </c>
      <c r="D29" s="30" t="s">
        <v>32</v>
      </c>
      <c r="E29" s="32" t="s">
        <v>33</v>
      </c>
      <c r="F29" s="32" t="s">
        <v>34</v>
      </c>
      <c r="G29" s="32" t="s">
        <v>14</v>
      </c>
      <c r="H29" s="32" t="s">
        <v>15</v>
      </c>
      <c r="I29" s="32" t="s">
        <v>16</v>
      </c>
      <c r="J29" s="32" t="s">
        <v>17</v>
      </c>
      <c r="K29" s="32" t="s">
        <v>35</v>
      </c>
      <c r="L29" s="32" t="s">
        <v>36</v>
      </c>
      <c r="M29" s="32" t="s">
        <v>37</v>
      </c>
      <c r="N29" s="31" t="s">
        <v>38</v>
      </c>
    </row>
    <row r="30" spans="1:17" x14ac:dyDescent="0.15">
      <c r="A30" s="25" t="str">
        <f t="shared" ref="A30:A35" ca="1" si="24">CONCATENATE(C30,B30)</f>
        <v>6D</v>
      </c>
      <c r="B30" s="25" t="s">
        <v>17</v>
      </c>
      <c r="C30" s="25">
        <f t="shared" ref="C30:C35" ca="1" si="25">IF(SUM($G$30:$G$35)=0,0,_xlfn.RANK.EQ(N30,$N$30:$N$35))</f>
        <v>6</v>
      </c>
      <c r="D30" s="26" t="str">
        <f>VLOOKUP($O30, Equipes!$A$3:$B$32, 2, FALSE)</f>
        <v>REGINALDO(SCCP)</v>
      </c>
      <c r="E30" s="33">
        <f t="shared" ref="E30:E35" si="26">IF(G30=0,0,(F30)/(G30*3))</f>
        <v>0.13333333333333333</v>
      </c>
      <c r="F30" s="25">
        <f t="shared" ref="F30:F35" si="27">(H30*3)+(I30*1)</f>
        <v>2</v>
      </c>
      <c r="G30" s="25">
        <f>COUNTIF(Jogos!$M$1:$N$82, $D30)</f>
        <v>5</v>
      </c>
      <c r="H30" s="25">
        <f>COUNTIF(Jogos!$O$1:$O$82, $D30)</f>
        <v>0</v>
      </c>
      <c r="I30" s="25">
        <f>COUNTIF(Jogos!$P$1:$Q$82, $D30)</f>
        <v>2</v>
      </c>
      <c r="J30" s="25">
        <f>COUNTIF(Jogos!$R$1:$R$82, $D30)</f>
        <v>3</v>
      </c>
      <c r="K30" s="25">
        <f ca="1">SUMIF(Jogos!$S$1:$T$82, $D30, Jogos!$T$1:$T$82)+SUMIF(Jogos!$U$1:$V$82, $D30, Jogos!$V$1:$V$82)</f>
        <v>1</v>
      </c>
      <c r="L30" s="25">
        <f ca="1">SUMIF(Jogos!$S$1:$V$82, $D30, Jogos!$V$1:$V$82)+SUMIF(Jogos!$U$1:$W$82, $D30, Jogos!$W$1:$W$82)</f>
        <v>7</v>
      </c>
      <c r="M30" s="25">
        <f t="shared" ref="M30:M35" ca="1" si="28">K30-L30</f>
        <v>-6</v>
      </c>
      <c r="N30" s="25">
        <f t="shared" ref="N30:N35" ca="1" si="29">(E30*E$3+F30*F$3+H30*H$3+M30*M$3+K30*K$3)/(E$3/100)-ROW(N30)/E$3</f>
        <v>13.532734033333334</v>
      </c>
      <c r="O30" s="27">
        <v>19</v>
      </c>
      <c r="P30" s="27">
        <f t="shared" ref="P30:P35" ca="1" si="30">(E30*E$3+F30*F$3+H30*H$3+M30*M$3+K30*K$3)/(E$3/100)</f>
        <v>13.532734333333334</v>
      </c>
      <c r="Q30" s="27">
        <f t="shared" ref="Q30:Q35" ca="1" si="31">IF(SUM($G$30:$G$35)=0,0,_xlfn.RANK.EQ(P30,$P$30:$P$35))</f>
        <v>6</v>
      </c>
    </row>
    <row r="31" spans="1:17" x14ac:dyDescent="0.15">
      <c r="A31" s="25" t="str">
        <f t="shared" ca="1" si="24"/>
        <v>4D</v>
      </c>
      <c r="B31" s="25" t="s">
        <v>17</v>
      </c>
      <c r="C31" s="25">
        <f t="shared" ca="1" si="25"/>
        <v>4</v>
      </c>
      <c r="D31" s="26" t="str">
        <f>VLOOKUP($O31, Equipes!$A$3:$B$32, 2, FALSE)</f>
        <v>LUIZ COELHO(MZ)</v>
      </c>
      <c r="E31" s="33">
        <f t="shared" si="26"/>
        <v>0.46666666666666667</v>
      </c>
      <c r="F31" s="25">
        <f t="shared" si="27"/>
        <v>7</v>
      </c>
      <c r="G31" s="25">
        <f>COUNTIF(Jogos!$M$1:$N$82, $D31)</f>
        <v>5</v>
      </c>
      <c r="H31" s="25">
        <f>COUNTIF(Jogos!$O$1:$O$82, $D31)</f>
        <v>2</v>
      </c>
      <c r="I31" s="25">
        <f>COUNTIF(Jogos!$P$1:$Q$82, $D31)</f>
        <v>1</v>
      </c>
      <c r="J31" s="25">
        <f>COUNTIF(Jogos!$R$1:$R$82, $D31)</f>
        <v>2</v>
      </c>
      <c r="K31" s="25">
        <f ca="1">SUMIF(Jogos!$S$1:$T$82, $D31, Jogos!$T$1:$T$82)+SUMIF(Jogos!$U$1:$V$82, $D31, Jogos!$V$1:$V$82)</f>
        <v>7</v>
      </c>
      <c r="L31" s="25">
        <f ca="1">SUMIF(Jogos!$S$1:$V$82, $D31, Jogos!$V$1:$V$82)+SUMIF(Jogos!$U$1:$W$82, $D31, Jogos!$W$1:$W$82)</f>
        <v>6</v>
      </c>
      <c r="M31" s="25">
        <f t="shared" ca="1" si="28"/>
        <v>1</v>
      </c>
      <c r="N31" s="25">
        <f t="shared" ca="1" si="29"/>
        <v>47.386773356666666</v>
      </c>
      <c r="O31" s="27">
        <v>20</v>
      </c>
      <c r="P31" s="27">
        <f t="shared" ca="1" si="30"/>
        <v>47.386773666666663</v>
      </c>
      <c r="Q31" s="27">
        <f t="shared" ca="1" si="31"/>
        <v>4</v>
      </c>
    </row>
    <row r="32" spans="1:17" x14ac:dyDescent="0.15">
      <c r="A32" s="25" t="str">
        <f t="shared" ca="1" si="24"/>
        <v>1D</v>
      </c>
      <c r="B32" s="25" t="s">
        <v>17</v>
      </c>
      <c r="C32" s="25">
        <f t="shared" ca="1" si="25"/>
        <v>1</v>
      </c>
      <c r="D32" s="26" t="str">
        <f>VLOOKUP($O32, Equipes!$A$3:$B$32, 2, FALSE)</f>
        <v>TUPINAMBÁ(LSJC)</v>
      </c>
      <c r="E32" s="33">
        <f t="shared" si="26"/>
        <v>0.66666666666666663</v>
      </c>
      <c r="F32" s="25">
        <f t="shared" si="27"/>
        <v>10</v>
      </c>
      <c r="G32" s="25">
        <f>COUNTIF(Jogos!$M$1:$N$82, $D32)</f>
        <v>5</v>
      </c>
      <c r="H32" s="25">
        <f>COUNTIF(Jogos!$O$1:$O$82, $D32)</f>
        <v>3</v>
      </c>
      <c r="I32" s="25">
        <f>COUNTIF(Jogos!$P$1:$Q$82, $D32)</f>
        <v>1</v>
      </c>
      <c r="J32" s="25">
        <f>COUNTIF(Jogos!$R$1:$R$82, $D32)</f>
        <v>1</v>
      </c>
      <c r="K32" s="25">
        <f ca="1">SUMIF(Jogos!$S$1:$T$82, $D32, Jogos!$T$1:$T$82)+SUMIF(Jogos!$U$1:$V$82, $D32, Jogos!$V$1:$V$82)</f>
        <v>7</v>
      </c>
      <c r="L32" s="25">
        <f ca="1">SUMIF(Jogos!$S$1:$V$82, $D32, Jogos!$V$1:$V$82)+SUMIF(Jogos!$U$1:$W$82, $D32, Jogos!$W$1:$W$82)</f>
        <v>6</v>
      </c>
      <c r="M32" s="25">
        <f t="shared" ca="1" si="28"/>
        <v>1</v>
      </c>
      <c r="N32" s="25">
        <f t="shared" ca="1" si="29"/>
        <v>67.69677334666666</v>
      </c>
      <c r="O32" s="27">
        <v>21</v>
      </c>
      <c r="P32" s="27">
        <f t="shared" ca="1" si="30"/>
        <v>67.696773666666658</v>
      </c>
      <c r="Q32" s="27">
        <f t="shared" ca="1" si="31"/>
        <v>1</v>
      </c>
    </row>
    <row r="33" spans="1:17" x14ac:dyDescent="0.15">
      <c r="A33" s="25" t="str">
        <f t="shared" ca="1" si="24"/>
        <v>2D</v>
      </c>
      <c r="B33" s="25" t="s">
        <v>17</v>
      </c>
      <c r="C33" s="25">
        <f t="shared" ca="1" si="25"/>
        <v>2</v>
      </c>
      <c r="D33" s="26" t="str">
        <f>VLOOKUP($O33, Equipes!$A$3:$B$32, 2, FALSE)</f>
        <v>GALDEANO(SCCP)</v>
      </c>
      <c r="E33" s="33">
        <f t="shared" si="26"/>
        <v>0.53333333333333333</v>
      </c>
      <c r="F33" s="25">
        <f t="shared" si="27"/>
        <v>8</v>
      </c>
      <c r="G33" s="25">
        <f>COUNTIF(Jogos!$M$1:$N$82, $D33)</f>
        <v>5</v>
      </c>
      <c r="H33" s="25">
        <f>COUNTIF(Jogos!$O$1:$O$82, $D33)</f>
        <v>2</v>
      </c>
      <c r="I33" s="25">
        <f>COUNTIF(Jogos!$P$1:$Q$82, $D33)</f>
        <v>2</v>
      </c>
      <c r="J33" s="25">
        <f>COUNTIF(Jogos!$R$1:$R$82, $D33)</f>
        <v>1</v>
      </c>
      <c r="K33" s="25">
        <f ca="1">SUMIF(Jogos!$S$1:$T$82, $D33, Jogos!$T$1:$T$82)+SUMIF(Jogos!$U$1:$V$82, $D33, Jogos!$V$1:$V$82)</f>
        <v>11</v>
      </c>
      <c r="L33" s="25">
        <f ca="1">SUMIF(Jogos!$S$1:$V$82, $D33, Jogos!$V$1:$V$82)+SUMIF(Jogos!$U$1:$W$82, $D33, Jogos!$W$1:$W$82)</f>
        <v>6</v>
      </c>
      <c r="M33" s="25">
        <f t="shared" ca="1" si="28"/>
        <v>5</v>
      </c>
      <c r="N33" s="25">
        <f t="shared" ca="1" si="29"/>
        <v>54.15384400333334</v>
      </c>
      <c r="O33" s="27">
        <v>22</v>
      </c>
      <c r="P33" s="27">
        <f t="shared" ca="1" si="30"/>
        <v>54.153844333333339</v>
      </c>
      <c r="Q33" s="27">
        <f t="shared" ca="1" si="31"/>
        <v>2</v>
      </c>
    </row>
    <row r="34" spans="1:17" x14ac:dyDescent="0.15">
      <c r="A34" s="25" t="str">
        <f t="shared" ca="1" si="24"/>
        <v>5D</v>
      </c>
      <c r="B34" s="25" t="s">
        <v>17</v>
      </c>
      <c r="C34" s="25">
        <f t="shared" ca="1" si="25"/>
        <v>5</v>
      </c>
      <c r="D34" s="26" t="str">
        <f>VLOOKUP($O34, Equipes!$A$3:$B$32, 2, FALSE)</f>
        <v>PEPE 2004(2004)</v>
      </c>
      <c r="E34" s="33">
        <f t="shared" si="26"/>
        <v>0.4</v>
      </c>
      <c r="F34" s="25">
        <f t="shared" si="27"/>
        <v>6</v>
      </c>
      <c r="G34" s="25">
        <f>COUNTIF(Jogos!$M$1:$N$82, $D34)</f>
        <v>5</v>
      </c>
      <c r="H34" s="25">
        <f>COUNTIF(Jogos!$O$1:$O$82, $D34)</f>
        <v>2</v>
      </c>
      <c r="I34" s="25">
        <f>COUNTIF(Jogos!$P$1:$Q$82, $D34)</f>
        <v>0</v>
      </c>
      <c r="J34" s="25">
        <f>COUNTIF(Jogos!$R$1:$R$82, $D34)</f>
        <v>3</v>
      </c>
      <c r="K34" s="25">
        <f ca="1">SUMIF(Jogos!$S$1:$T$82, $D34, Jogos!$T$1:$T$82)+SUMIF(Jogos!$U$1:$V$82, $D34, Jogos!$V$1:$V$82)</f>
        <v>4</v>
      </c>
      <c r="L34" s="25">
        <f ca="1">SUMIF(Jogos!$S$1:$V$82, $D34, Jogos!$V$1:$V$82)+SUMIF(Jogos!$U$1:$W$82, $D34, Jogos!$W$1:$W$82)</f>
        <v>6</v>
      </c>
      <c r="M34" s="25">
        <f t="shared" ca="1" si="28"/>
        <v>-2</v>
      </c>
      <c r="N34" s="25">
        <f t="shared" ca="1" si="29"/>
        <v>40.619803660000002</v>
      </c>
      <c r="O34" s="27">
        <v>23</v>
      </c>
      <c r="P34" s="27">
        <f t="shared" ca="1" si="30"/>
        <v>40.619804000000002</v>
      </c>
      <c r="Q34" s="27">
        <f t="shared" ca="1" si="31"/>
        <v>5</v>
      </c>
    </row>
    <row r="35" spans="1:17" x14ac:dyDescent="0.15">
      <c r="A35" s="25" t="str">
        <f t="shared" ca="1" si="24"/>
        <v>3D</v>
      </c>
      <c r="B35" s="25" t="s">
        <v>17</v>
      </c>
      <c r="C35" s="25">
        <f t="shared" ca="1" si="25"/>
        <v>3</v>
      </c>
      <c r="D35" s="26" t="str">
        <f>VLOOKUP($O35, Equipes!$A$3:$B$32, 2, FALSE)</f>
        <v>ZÉ LUIZ(SPFC)</v>
      </c>
      <c r="E35" s="33">
        <f t="shared" si="26"/>
        <v>0.53333333333333333</v>
      </c>
      <c r="F35" s="25">
        <f t="shared" si="27"/>
        <v>8</v>
      </c>
      <c r="G35" s="25">
        <f>COUNTIF(Jogos!$M$1:$N$82, $D35)</f>
        <v>5</v>
      </c>
      <c r="H35" s="25">
        <f>COUNTIF(Jogos!$O$1:$O$82, $D35)</f>
        <v>2</v>
      </c>
      <c r="I35" s="25">
        <f>COUNTIF(Jogos!$P$1:$Q$82, $D35)</f>
        <v>2</v>
      </c>
      <c r="J35" s="25">
        <f>COUNTIF(Jogos!$R$1:$R$82, $D35)</f>
        <v>1</v>
      </c>
      <c r="K35" s="25">
        <f ca="1">SUMIF(Jogos!$S$1:$T$82, $D35, Jogos!$T$1:$T$82)+SUMIF(Jogos!$U$1:$V$82, $D35, Jogos!$V$1:$V$82)</f>
        <v>5</v>
      </c>
      <c r="L35" s="25">
        <f ca="1">SUMIF(Jogos!$S$1:$V$82, $D35, Jogos!$V$1:$V$82)+SUMIF(Jogos!$U$1:$W$82, $D35, Jogos!$W$1:$W$82)</f>
        <v>4</v>
      </c>
      <c r="M35" s="25">
        <f t="shared" ca="1" si="28"/>
        <v>1</v>
      </c>
      <c r="N35" s="25">
        <f t="shared" ca="1" si="29"/>
        <v>54.153437983333333</v>
      </c>
      <c r="O35" s="27">
        <v>24</v>
      </c>
      <c r="P35" s="27">
        <f t="shared" ca="1" si="30"/>
        <v>54.153438333333334</v>
      </c>
      <c r="Q35" s="27">
        <f t="shared" ca="1" si="31"/>
        <v>3</v>
      </c>
    </row>
    <row r="37" spans="1:17" ht="25.5" x14ac:dyDescent="0.5">
      <c r="A37" s="25" t="s">
        <v>31</v>
      </c>
      <c r="B37" s="25" t="s">
        <v>16</v>
      </c>
      <c r="C37" s="29" t="s">
        <v>16</v>
      </c>
      <c r="D37" s="30" t="s">
        <v>32</v>
      </c>
      <c r="E37" s="32" t="s">
        <v>33</v>
      </c>
      <c r="F37" s="32" t="s">
        <v>34</v>
      </c>
      <c r="G37" s="32" t="s">
        <v>14</v>
      </c>
      <c r="H37" s="32" t="s">
        <v>15</v>
      </c>
      <c r="I37" s="32" t="s">
        <v>16</v>
      </c>
      <c r="J37" s="32" t="s">
        <v>17</v>
      </c>
      <c r="K37" s="32" t="s">
        <v>35</v>
      </c>
      <c r="L37" s="32" t="s">
        <v>36</v>
      </c>
      <c r="M37" s="32" t="s">
        <v>37</v>
      </c>
      <c r="N37" s="31" t="s">
        <v>38</v>
      </c>
    </row>
    <row r="38" spans="1:17" x14ac:dyDescent="0.15">
      <c r="A38" s="25" t="str">
        <f t="shared" ref="A38:A43" ca="1" si="32">CONCATENATE(C38,B38)</f>
        <v>5E</v>
      </c>
      <c r="B38" s="25" t="s">
        <v>16</v>
      </c>
      <c r="C38" s="25">
        <f t="shared" ref="C38:C43" ca="1" si="33">IF(SUM($G$38:$G$43)=0,0,_xlfn.RANK.EQ(N38,$N$38:$N$43))</f>
        <v>5</v>
      </c>
      <c r="D38" s="26" t="str">
        <f>VLOOKUP($O38, Equipes!$A$3:$B$32, 2, FALSE)</f>
        <v>ANDRÉ COELHO(SCCP)</v>
      </c>
      <c r="E38" s="33">
        <f t="shared" ref="E38:E43" si="34">IF(G38=0,0,(F38)/(G38*3))</f>
        <v>0.13333333333333333</v>
      </c>
      <c r="F38" s="25">
        <f t="shared" ref="F38:F43" si="35">(H38*3)+(I38*1)</f>
        <v>2</v>
      </c>
      <c r="G38" s="25">
        <f>COUNTIF(Jogos!$M$1:$N$82, $D38)</f>
        <v>5</v>
      </c>
      <c r="H38" s="25">
        <f>COUNTIF(Jogos!$O$1:$O$82, $D38)</f>
        <v>0</v>
      </c>
      <c r="I38" s="25">
        <f>COUNTIF(Jogos!$P$1:$Q$82, $D38)</f>
        <v>2</v>
      </c>
      <c r="J38" s="25">
        <f>COUNTIF(Jogos!$R$1:$R$82, $D38)</f>
        <v>3</v>
      </c>
      <c r="K38" s="25">
        <f ca="1">SUMIF(Jogos!$S$1:$T$82, $D38, Jogos!$T$1:$T$82)+SUMIF(Jogos!$U$1:$V$82, $D38, Jogos!$V$1:$V$82)</f>
        <v>4</v>
      </c>
      <c r="L38" s="25">
        <f ca="1">SUMIF(Jogos!$S$1:$V$82, $D38, Jogos!$V$1:$V$82)+SUMIF(Jogos!$U$1:$W$82, $D38, Jogos!$W$1:$W$82)</f>
        <v>10</v>
      </c>
      <c r="M38" s="25">
        <f t="shared" ref="M38:M43" ca="1" si="36">K38-L38</f>
        <v>-6</v>
      </c>
      <c r="N38" s="25">
        <f t="shared" ref="N38:N43" ca="1" si="37">(E38*E$3+F38*F$3+H38*H$3+M38*M$3+K38*K$3)/(E$3/100)-ROW(N38)/E$3</f>
        <v>13.532736953333334</v>
      </c>
      <c r="O38" s="27">
        <v>25</v>
      </c>
      <c r="P38" s="27">
        <f t="shared" ref="P38:P43" ca="1" si="38">(E38*E$3+F38*F$3+H38*H$3+M38*M$3+K38*K$3)/(E$3/100)</f>
        <v>13.532737333333333</v>
      </c>
      <c r="Q38" s="27">
        <f t="shared" ref="Q38:Q43" ca="1" si="39">IF(SUM($G$38:$G$43)=0,0,_xlfn.RANK.EQ(P38,$P$38:$P$43))</f>
        <v>5</v>
      </c>
    </row>
    <row r="39" spans="1:17" x14ac:dyDescent="0.15">
      <c r="A39" s="25" t="str">
        <f t="shared" ca="1" si="32"/>
        <v>4E</v>
      </c>
      <c r="B39" s="25" t="s">
        <v>16</v>
      </c>
      <c r="C39" s="25">
        <f t="shared" ca="1" si="33"/>
        <v>4</v>
      </c>
      <c r="D39" s="26" t="str">
        <f>VLOOKUP($O39, Equipes!$A$3:$B$32, 2, FALSE)</f>
        <v>RAFAEL BALIEIRO(LSJC)</v>
      </c>
      <c r="E39" s="33">
        <f t="shared" si="34"/>
        <v>0.4</v>
      </c>
      <c r="F39" s="25">
        <f t="shared" si="35"/>
        <v>6</v>
      </c>
      <c r="G39" s="25">
        <f>COUNTIF(Jogos!$M$1:$N$82, $D39)</f>
        <v>5</v>
      </c>
      <c r="H39" s="25">
        <f>COUNTIF(Jogos!$O$1:$O$82, $D39)</f>
        <v>1</v>
      </c>
      <c r="I39" s="25">
        <f>COUNTIF(Jogos!$P$1:$Q$82, $D39)</f>
        <v>3</v>
      </c>
      <c r="J39" s="25">
        <f>COUNTIF(Jogos!$R$1:$R$82, $D39)</f>
        <v>1</v>
      </c>
      <c r="K39" s="25">
        <f ca="1">SUMIF(Jogos!$S$1:$T$82, $D39, Jogos!$T$1:$T$82)+SUMIF(Jogos!$U$1:$V$82, $D39, Jogos!$V$1:$V$82)</f>
        <v>5</v>
      </c>
      <c r="L39" s="25">
        <f ca="1">SUMIF(Jogos!$S$1:$V$82, $D39, Jogos!$V$1:$V$82)+SUMIF(Jogos!$U$1:$W$82, $D39, Jogos!$W$1:$W$82)</f>
        <v>5</v>
      </c>
      <c r="M39" s="25">
        <f t="shared" ca="1" si="36"/>
        <v>0</v>
      </c>
      <c r="N39" s="25">
        <f t="shared" ca="1" si="37"/>
        <v>40.610004610000004</v>
      </c>
      <c r="O39" s="27">
        <v>26</v>
      </c>
      <c r="P39" s="27">
        <f t="shared" ca="1" si="38"/>
        <v>40.610005000000001</v>
      </c>
      <c r="Q39" s="27">
        <f t="shared" ca="1" si="39"/>
        <v>4</v>
      </c>
    </row>
    <row r="40" spans="1:17" x14ac:dyDescent="0.15">
      <c r="A40" s="25" t="str">
        <f t="shared" ca="1" si="32"/>
        <v>1E</v>
      </c>
      <c r="B40" s="25" t="s">
        <v>16</v>
      </c>
      <c r="C40" s="25">
        <f t="shared" ca="1" si="33"/>
        <v>1</v>
      </c>
      <c r="D40" s="26" t="str">
        <f>VLOOKUP($O40, Equipes!$A$3:$B$32, 2, FALSE)</f>
        <v>JEFFERSON TABAJARA(2004)</v>
      </c>
      <c r="E40" s="33">
        <f t="shared" si="34"/>
        <v>1</v>
      </c>
      <c r="F40" s="25">
        <f t="shared" si="35"/>
        <v>15</v>
      </c>
      <c r="G40" s="25">
        <f>COUNTIF(Jogos!$M$1:$N$82, $D40)</f>
        <v>5</v>
      </c>
      <c r="H40" s="25">
        <f>COUNTIF(Jogos!$O$1:$O$82, $D40)</f>
        <v>5</v>
      </c>
      <c r="I40" s="25">
        <f>COUNTIF(Jogos!$P$1:$Q$82, $D40)</f>
        <v>0</v>
      </c>
      <c r="J40" s="25">
        <f>COUNTIF(Jogos!$R$1:$R$82, $D40)</f>
        <v>0</v>
      </c>
      <c r="K40" s="25">
        <f ca="1">SUMIF(Jogos!$S$1:$T$82, $D40, Jogos!$T$1:$T$82)+SUMIF(Jogos!$U$1:$V$82, $D40, Jogos!$V$1:$V$82)</f>
        <v>20</v>
      </c>
      <c r="L40" s="25">
        <f ca="1">SUMIF(Jogos!$S$1:$V$82, $D40, Jogos!$V$1:$V$82)+SUMIF(Jogos!$U$1:$W$82, $D40, Jogos!$W$1:$W$82)</f>
        <v>7</v>
      </c>
      <c r="M40" s="25">
        <f t="shared" ca="1" si="36"/>
        <v>13</v>
      </c>
      <c r="N40" s="25">
        <f t="shared" ca="1" si="37"/>
        <v>101.5513196</v>
      </c>
      <c r="O40" s="27">
        <v>27</v>
      </c>
      <c r="P40" s="27">
        <f t="shared" ca="1" si="38"/>
        <v>101.55132</v>
      </c>
      <c r="Q40" s="27">
        <f t="shared" ca="1" si="39"/>
        <v>1</v>
      </c>
    </row>
    <row r="41" spans="1:17" x14ac:dyDescent="0.15">
      <c r="A41" s="25" t="str">
        <f t="shared" ca="1" si="32"/>
        <v>2E</v>
      </c>
      <c r="B41" s="25" t="s">
        <v>16</v>
      </c>
      <c r="C41" s="25">
        <f t="shared" ca="1" si="33"/>
        <v>2</v>
      </c>
      <c r="D41" s="26" t="str">
        <f>VLOOKUP($O41, Equipes!$A$3:$B$32, 2, FALSE)</f>
        <v>CORTEZ (MZ)</v>
      </c>
      <c r="E41" s="33">
        <f t="shared" si="34"/>
        <v>0.53333333333333333</v>
      </c>
      <c r="F41" s="25">
        <f t="shared" si="35"/>
        <v>8</v>
      </c>
      <c r="G41" s="25">
        <f>COUNTIF(Jogos!$M$1:$N$82, $D41)</f>
        <v>5</v>
      </c>
      <c r="H41" s="25">
        <f>COUNTIF(Jogos!$O$1:$O$82, $D41)</f>
        <v>2</v>
      </c>
      <c r="I41" s="25">
        <f>COUNTIF(Jogos!$P$1:$Q$82, $D41)</f>
        <v>2</v>
      </c>
      <c r="J41" s="25">
        <f>COUNTIF(Jogos!$R$1:$R$82, $D41)</f>
        <v>1</v>
      </c>
      <c r="K41" s="25">
        <f ca="1">SUMIF(Jogos!$S$1:$T$82, $D41, Jogos!$T$1:$T$82)+SUMIF(Jogos!$U$1:$V$82, $D41, Jogos!$V$1:$V$82)</f>
        <v>4</v>
      </c>
      <c r="L41" s="25">
        <f ca="1">SUMIF(Jogos!$S$1:$V$82, $D41, Jogos!$V$1:$V$82)+SUMIF(Jogos!$U$1:$W$82, $D41, Jogos!$W$1:$W$82)</f>
        <v>2</v>
      </c>
      <c r="M41" s="25">
        <f t="shared" ca="1" si="36"/>
        <v>2</v>
      </c>
      <c r="N41" s="25">
        <f t="shared" ca="1" si="37"/>
        <v>54.153536923333334</v>
      </c>
      <c r="O41" s="27">
        <v>28</v>
      </c>
      <c r="P41" s="27">
        <f t="shared" ca="1" si="38"/>
        <v>54.153537333333333</v>
      </c>
      <c r="Q41" s="27">
        <f t="shared" ca="1" si="39"/>
        <v>2</v>
      </c>
    </row>
    <row r="42" spans="1:17" x14ac:dyDescent="0.15">
      <c r="A42" s="25" t="str">
        <f t="shared" ca="1" si="32"/>
        <v>6E</v>
      </c>
      <c r="B42" s="25" t="s">
        <v>16</v>
      </c>
      <c r="C42" s="25">
        <f t="shared" ca="1" si="33"/>
        <v>6</v>
      </c>
      <c r="D42" s="26" t="str">
        <f>VLOOKUP($O42, Equipes!$A$3:$B$32, 2, FALSE)</f>
        <v>DJ IURY(LSJC)</v>
      </c>
      <c r="E42" s="33">
        <f t="shared" si="34"/>
        <v>6.6666666666666666E-2</v>
      </c>
      <c r="F42" s="25">
        <f t="shared" si="35"/>
        <v>1</v>
      </c>
      <c r="G42" s="25">
        <f>COUNTIF(Jogos!$M$1:$N$82, $D42)</f>
        <v>5</v>
      </c>
      <c r="H42" s="25">
        <f>COUNTIF(Jogos!$O$1:$O$82, $D42)</f>
        <v>0</v>
      </c>
      <c r="I42" s="25">
        <f>COUNTIF(Jogos!$P$1:$Q$82, $D42)</f>
        <v>1</v>
      </c>
      <c r="J42" s="25">
        <f>COUNTIF(Jogos!$R$1:$R$82, $D42)</f>
        <v>4</v>
      </c>
      <c r="K42" s="25">
        <f ca="1">SUMIF(Jogos!$S$1:$T$82, $D42, Jogos!$T$1:$T$82)+SUMIF(Jogos!$U$1:$V$82, $D42, Jogos!$V$1:$V$82)</f>
        <v>4</v>
      </c>
      <c r="L42" s="25">
        <f ca="1">SUMIF(Jogos!$S$1:$V$82, $D42, Jogos!$V$1:$V$82)+SUMIF(Jogos!$U$1:$W$82, $D42, Jogos!$W$1:$W$82)</f>
        <v>12</v>
      </c>
      <c r="M42" s="25">
        <f t="shared" ca="1" si="36"/>
        <v>-8</v>
      </c>
      <c r="N42" s="25">
        <f t="shared" ca="1" si="37"/>
        <v>6.7658702466666671</v>
      </c>
      <c r="O42" s="27">
        <v>29</v>
      </c>
      <c r="P42" s="27">
        <f t="shared" ca="1" si="38"/>
        <v>6.7658706666666673</v>
      </c>
      <c r="Q42" s="27">
        <f t="shared" ca="1" si="39"/>
        <v>6</v>
      </c>
    </row>
    <row r="43" spans="1:17" x14ac:dyDescent="0.15">
      <c r="A43" s="25" t="str">
        <f t="shared" ca="1" si="32"/>
        <v>3E</v>
      </c>
      <c r="B43" s="25" t="s">
        <v>16</v>
      </c>
      <c r="C43" s="25">
        <f t="shared" ca="1" si="33"/>
        <v>3</v>
      </c>
      <c r="D43" s="26" t="str">
        <f>VLOOKUP($O43, Equipes!$A$3:$B$32, 2, FALSE)</f>
        <v>NORBERTO(7/9)</v>
      </c>
      <c r="E43" s="33">
        <f t="shared" si="34"/>
        <v>0.53333333333333333</v>
      </c>
      <c r="F43" s="25">
        <f t="shared" si="35"/>
        <v>8</v>
      </c>
      <c r="G43" s="25">
        <f>COUNTIF(Jogos!$M$1:$N$82, $D43)</f>
        <v>5</v>
      </c>
      <c r="H43" s="25">
        <f>COUNTIF(Jogos!$O$1:$O$82, $D43)</f>
        <v>2</v>
      </c>
      <c r="I43" s="25">
        <f>COUNTIF(Jogos!$P$1:$Q$82, $D43)</f>
        <v>2</v>
      </c>
      <c r="J43" s="25">
        <f>COUNTIF(Jogos!$R$1:$R$82, $D43)</f>
        <v>1</v>
      </c>
      <c r="K43" s="25">
        <f ca="1">SUMIF(Jogos!$S$1:$T$82, $D43, Jogos!$T$1:$T$82)+SUMIF(Jogos!$U$1:$V$82, $D43, Jogos!$V$1:$V$82)</f>
        <v>9</v>
      </c>
      <c r="L43" s="25">
        <f ca="1">SUMIF(Jogos!$S$1:$V$82, $D43, Jogos!$V$1:$V$82)+SUMIF(Jogos!$U$1:$W$82, $D43, Jogos!$W$1:$W$82)</f>
        <v>10</v>
      </c>
      <c r="M43" s="25">
        <f t="shared" ca="1" si="36"/>
        <v>-1</v>
      </c>
      <c r="N43" s="25">
        <f t="shared" ca="1" si="37"/>
        <v>54.153241903333338</v>
      </c>
      <c r="O43" s="27">
        <v>30</v>
      </c>
      <c r="P43" s="27">
        <f t="shared" ca="1" si="38"/>
        <v>54.153242333333338</v>
      </c>
      <c r="Q43" s="27">
        <f t="shared" ca="1" si="39"/>
        <v>3</v>
      </c>
    </row>
    <row r="45" spans="1:17" ht="25.5" x14ac:dyDescent="0.5">
      <c r="C45" s="29">
        <v>4</v>
      </c>
      <c r="D45" s="30" t="s">
        <v>32</v>
      </c>
    </row>
    <row r="46" spans="1:17" x14ac:dyDescent="0.15">
      <c r="A46" s="25" t="str">
        <f ca="1">CONCATENATE(C46 &amp; "º-4")</f>
        <v>4º-4</v>
      </c>
      <c r="B46" s="25" t="s">
        <v>41</v>
      </c>
      <c r="C46" s="25">
        <f ca="1">_xlfn.RANK.EQ(E46,$E$46:$E$50)</f>
        <v>4</v>
      </c>
      <c r="D46" s="26" t="str">
        <f ca="1">VLOOKUP($B46,$A$5:$P$43,4,FALSE)</f>
        <v>PROFESSOR(LSJC)</v>
      </c>
      <c r="E46" s="25">
        <f ca="1">VLOOKUP($B46,$A$5:$P$43,16,FALSE)</f>
        <v>40.610005000000001</v>
      </c>
    </row>
    <row r="47" spans="1:17" x14ac:dyDescent="0.15">
      <c r="A47" s="25" t="str">
        <f ca="1">CONCATENATE(C47 &amp; "º-4")</f>
        <v>3º-4</v>
      </c>
      <c r="B47" s="25" t="s">
        <v>42</v>
      </c>
      <c r="C47" s="25">
        <f ca="1">_xlfn.RANK.EQ(E47,$E$46:$E$50)</f>
        <v>3</v>
      </c>
      <c r="D47" s="26" t="str">
        <f ca="1">VLOOKUP($B47,$A$5:$P$43,4,FALSE)</f>
        <v>MARIELCIO(LSJC)</v>
      </c>
      <c r="E47" s="25">
        <f ca="1">VLOOKUP($B47,$A$5:$P$43,16,FALSE)</f>
        <v>47.386574666666661</v>
      </c>
    </row>
    <row r="48" spans="1:17" x14ac:dyDescent="0.15">
      <c r="A48" s="25" t="str">
        <f ca="1">CONCATENATE(C48 &amp; "º-4")</f>
        <v>1º-4</v>
      </c>
      <c r="B48" s="25" t="s">
        <v>43</v>
      </c>
      <c r="C48" s="25">
        <f ca="1">_xlfn.RANK.EQ(E48,$E$46:$E$50)</f>
        <v>1</v>
      </c>
      <c r="D48" s="26" t="str">
        <f ca="1">VLOOKUP($B48,$A$5:$P$43,4,FALSE)</f>
        <v>ERISMAR(MZ)</v>
      </c>
      <c r="E48" s="25">
        <f ca="1">VLOOKUP($B48,$A$5:$P$43,16,FALSE)</f>
        <v>54.153542333333334</v>
      </c>
    </row>
    <row r="49" spans="1:5" x14ac:dyDescent="0.15">
      <c r="A49" s="25" t="str">
        <f ca="1">CONCATENATE(C49 &amp; "º-4")</f>
        <v>2º-4</v>
      </c>
      <c r="B49" s="25" t="s">
        <v>44</v>
      </c>
      <c r="C49" s="25">
        <f ca="1">_xlfn.RANK.EQ(E49,$E$46:$E$50)</f>
        <v>2</v>
      </c>
      <c r="D49" s="26" t="str">
        <f ca="1">VLOOKUP($B49,$A$5:$P$43,4,FALSE)</f>
        <v>LUIZ COELHO(MZ)</v>
      </c>
      <c r="E49" s="25">
        <f ca="1">VLOOKUP($B49,$A$5:$P$43,16,FALSE)</f>
        <v>47.386773666666663</v>
      </c>
    </row>
    <row r="50" spans="1:5" x14ac:dyDescent="0.15">
      <c r="A50" s="25" t="str">
        <f ca="1">CONCATENATE(C50 &amp; "º-4")</f>
        <v>4º-4</v>
      </c>
      <c r="B50" s="25" t="s">
        <v>45</v>
      </c>
      <c r="C50" s="25">
        <f ca="1">_xlfn.RANK.EQ(E50,$E$46:$E$50)</f>
        <v>4</v>
      </c>
      <c r="D50" s="26" t="str">
        <f ca="1">VLOOKUP($B50,$A$5:$P$43,4,FALSE)</f>
        <v>RAFAEL BALIEIRO(LSJC)</v>
      </c>
      <c r="E50" s="25">
        <f ca="1">VLOOKUP($B50,$A$5:$P$43,16,FALSE)</f>
        <v>40.610005000000001</v>
      </c>
    </row>
    <row r="53" spans="1:5" ht="25.5" x14ac:dyDescent="0.5">
      <c r="C53" s="55" t="s">
        <v>46</v>
      </c>
      <c r="D53" s="30" t="s">
        <v>32</v>
      </c>
    </row>
    <row r="54" spans="1:5" x14ac:dyDescent="0.15">
      <c r="B54" s="25" t="s">
        <v>47</v>
      </c>
      <c r="C54" s="25">
        <f t="shared" ref="C54:C69" ca="1" si="40">_xlfn.RANK.EQ(E54,$E$54:$E$69)</f>
        <v>2</v>
      </c>
      <c r="D54" s="26" t="str">
        <f t="shared" ref="D54:D69" ca="1" si="41">VLOOKUP($B54,$A$5:$P$43,4,FALSE)</f>
        <v>DIOGO(2004)</v>
      </c>
      <c r="E54" s="25">
        <f t="shared" ref="E54:E69" ca="1" si="42">VLOOKUP($B54,$A$5:$P$43,14,FALSE)</f>
        <v>88.007276556666667</v>
      </c>
    </row>
    <row r="55" spans="1:5" x14ac:dyDescent="0.15">
      <c r="B55" s="25" t="s">
        <v>48</v>
      </c>
      <c r="C55" s="25">
        <f t="shared" ca="1" si="40"/>
        <v>3</v>
      </c>
      <c r="D55" s="26" t="str">
        <f t="shared" ca="1" si="41"/>
        <v>MARCÃO SILVA(SPFC)</v>
      </c>
      <c r="E55" s="25">
        <f t="shared" ca="1" si="42"/>
        <v>81.240408810000005</v>
      </c>
    </row>
    <row r="56" spans="1:5" x14ac:dyDescent="0.15">
      <c r="B56" s="25" t="s">
        <v>49</v>
      </c>
      <c r="C56" s="25">
        <f t="shared" ca="1" si="40"/>
        <v>5</v>
      </c>
      <c r="D56" s="26" t="str">
        <f t="shared" ca="1" si="41"/>
        <v>RUAS(2004)</v>
      </c>
      <c r="E56" s="25">
        <f t="shared" ca="1" si="42"/>
        <v>74.46394307333334</v>
      </c>
    </row>
    <row r="57" spans="1:5" x14ac:dyDescent="0.15">
      <c r="B57" s="25" t="s">
        <v>50</v>
      </c>
      <c r="C57" s="25">
        <f t="shared" ca="1" si="40"/>
        <v>7</v>
      </c>
      <c r="D57" s="26" t="str">
        <f t="shared" ca="1" si="41"/>
        <v>TUPINAMBÁ(LSJC)</v>
      </c>
      <c r="E57" s="25">
        <f t="shared" ca="1" si="42"/>
        <v>67.69677334666666</v>
      </c>
    </row>
    <row r="58" spans="1:5" x14ac:dyDescent="0.15">
      <c r="B58" s="25" t="s">
        <v>51</v>
      </c>
      <c r="C58" s="25">
        <f t="shared" ca="1" si="40"/>
        <v>1</v>
      </c>
      <c r="D58" s="26" t="str">
        <f t="shared" ca="1" si="41"/>
        <v>JEFFERSON TABAJARA(2004)</v>
      </c>
      <c r="E58" s="25">
        <f t="shared" ca="1" si="42"/>
        <v>101.5513196</v>
      </c>
    </row>
    <row r="59" spans="1:5" x14ac:dyDescent="0.15">
      <c r="B59" s="25" t="s">
        <v>52</v>
      </c>
      <c r="C59" s="25">
        <f t="shared" ca="1" si="40"/>
        <v>13</v>
      </c>
      <c r="D59" s="26" t="str">
        <f t="shared" ca="1" si="41"/>
        <v>PABLO MARTINS(SCCP)</v>
      </c>
      <c r="E59" s="25">
        <f t="shared" ca="1" si="42"/>
        <v>54.153439273333341</v>
      </c>
    </row>
    <row r="60" spans="1:5" x14ac:dyDescent="0.15">
      <c r="B60" s="25" t="s">
        <v>53</v>
      </c>
      <c r="C60" s="25">
        <f t="shared" ca="1" si="40"/>
        <v>4</v>
      </c>
      <c r="D60" s="26" t="str">
        <f t="shared" ca="1" si="41"/>
        <v>MARCOS WILLOW(SCCP)</v>
      </c>
      <c r="E60" s="25">
        <f t="shared" ca="1" si="42"/>
        <v>74.463943193333336</v>
      </c>
    </row>
    <row r="61" spans="1:5" x14ac:dyDescent="0.15">
      <c r="B61" s="25" t="s">
        <v>54</v>
      </c>
      <c r="C61" s="25">
        <f t="shared" ca="1" si="40"/>
        <v>6</v>
      </c>
      <c r="D61" s="26" t="str">
        <f t="shared" ca="1" si="41"/>
        <v>ELSIO(SPFC)</v>
      </c>
      <c r="E61" s="25">
        <f t="shared" ca="1" si="42"/>
        <v>67.696978396666651</v>
      </c>
    </row>
    <row r="62" spans="1:5" x14ac:dyDescent="0.15">
      <c r="B62" s="25" t="s">
        <v>55</v>
      </c>
      <c r="C62" s="25">
        <f t="shared" ca="1" si="40"/>
        <v>10</v>
      </c>
      <c r="D62" s="26" t="str">
        <f t="shared" ca="1" si="41"/>
        <v>GALDEANO(SCCP)</v>
      </c>
      <c r="E62" s="25">
        <f t="shared" ca="1" si="42"/>
        <v>54.15384400333334</v>
      </c>
    </row>
    <row r="63" spans="1:5" x14ac:dyDescent="0.15">
      <c r="B63" s="25" t="s">
        <v>56</v>
      </c>
      <c r="C63" s="25">
        <f t="shared" ca="1" si="40"/>
        <v>12</v>
      </c>
      <c r="D63" s="26" t="str">
        <f t="shared" ca="1" si="41"/>
        <v>CORTEZ (MZ)</v>
      </c>
      <c r="E63" s="25">
        <f t="shared" ca="1" si="42"/>
        <v>54.153536923333334</v>
      </c>
    </row>
    <row r="64" spans="1:5" x14ac:dyDescent="0.15">
      <c r="B64" s="25" t="s">
        <v>57</v>
      </c>
      <c r="C64" s="25">
        <f t="shared" ca="1" si="40"/>
        <v>15</v>
      </c>
      <c r="D64" s="26" t="str">
        <f t="shared" ca="1" si="41"/>
        <v>MICA(MZ)</v>
      </c>
      <c r="E64" s="25">
        <f t="shared" ca="1" si="42"/>
        <v>54.153337253333333</v>
      </c>
    </row>
    <row r="65" spans="2:5" x14ac:dyDescent="0.15">
      <c r="B65" s="25" t="s">
        <v>58</v>
      </c>
      <c r="C65" s="25">
        <f t="shared" ca="1" si="40"/>
        <v>9</v>
      </c>
      <c r="D65" s="26" t="str">
        <f t="shared" ca="1" si="41"/>
        <v>TERUEL(SCCP)</v>
      </c>
      <c r="E65" s="25">
        <f t="shared" ca="1" si="42"/>
        <v>60.92990683</v>
      </c>
    </row>
    <row r="66" spans="2:5" x14ac:dyDescent="0.15">
      <c r="B66" s="25" t="s">
        <v>59</v>
      </c>
      <c r="C66" s="25">
        <f t="shared" ca="1" si="40"/>
        <v>8</v>
      </c>
      <c r="D66" s="26" t="str">
        <f t="shared" ca="1" si="41"/>
        <v>VINICIUS ROLIM(SCCP)</v>
      </c>
      <c r="E66" s="25">
        <f t="shared" ca="1" si="42"/>
        <v>60.930816749999998</v>
      </c>
    </row>
    <row r="67" spans="2:5" x14ac:dyDescent="0.15">
      <c r="B67" s="25" t="s">
        <v>60</v>
      </c>
      <c r="C67" s="25">
        <f t="shared" ca="1" si="40"/>
        <v>14</v>
      </c>
      <c r="D67" s="26" t="str">
        <f t="shared" ca="1" si="41"/>
        <v>ZÉ LUIZ(SPFC)</v>
      </c>
      <c r="E67" s="25">
        <f t="shared" ca="1" si="42"/>
        <v>54.153437983333333</v>
      </c>
    </row>
    <row r="68" spans="2:5" x14ac:dyDescent="0.15">
      <c r="B68" s="25" t="s">
        <v>61</v>
      </c>
      <c r="C68" s="25">
        <f t="shared" ca="1" si="40"/>
        <v>16</v>
      </c>
      <c r="D68" s="26" t="str">
        <f t="shared" ca="1" si="41"/>
        <v>NORBERTO(7/9)</v>
      </c>
      <c r="E68" s="25">
        <f t="shared" ca="1" si="42"/>
        <v>54.153241903333338</v>
      </c>
    </row>
    <row r="69" spans="2:5" x14ac:dyDescent="0.15">
      <c r="B69" s="25" t="str">
        <f ca="1">VLOOKUP("1º-4",$A$46:$B$50,2,FALSE)</f>
        <v>4C</v>
      </c>
      <c r="C69" s="25">
        <f t="shared" ca="1" si="40"/>
        <v>11</v>
      </c>
      <c r="D69" s="26" t="str">
        <f t="shared" ca="1" si="41"/>
        <v>ERISMAR(MZ)</v>
      </c>
      <c r="E69" s="25">
        <f t="shared" ca="1" si="42"/>
        <v>54.153542103333336</v>
      </c>
    </row>
    <row r="72" spans="2:5" ht="25.5" x14ac:dyDescent="0.5">
      <c r="C72" s="56" t="s">
        <v>62</v>
      </c>
      <c r="D72" s="30" t="s">
        <v>32</v>
      </c>
    </row>
    <row r="73" spans="2:5" x14ac:dyDescent="0.15">
      <c r="B73" s="25" t="str">
        <f ca="1">VLOOKUP("2º-4",$A$46:$B$50,2,FALSE)</f>
        <v>4D</v>
      </c>
      <c r="C73" s="25" t="e">
        <f t="shared" ref="C73:C86" ca="1" si="43">_xlfn.RANK.EQ(E73,$E$73:$E$86) + 16</f>
        <v>#N/A</v>
      </c>
      <c r="D73" s="26" t="str">
        <f t="shared" ref="D73:D86" ca="1" si="44">VLOOKUP($B73,$A$5:$P$43,4,FALSE)</f>
        <v>LUIZ COELHO(MZ)</v>
      </c>
      <c r="E73" s="25">
        <f t="shared" ref="E73:E86" ca="1" si="45">VLOOKUP($B73,$A$5:$P$43,14,FALSE)</f>
        <v>47.386773356666666</v>
      </c>
    </row>
    <row r="74" spans="2:5" x14ac:dyDescent="0.15">
      <c r="B74" s="25" t="str">
        <f ca="1">VLOOKUP("3º-4",$A$46:$B$50,2,FALSE)</f>
        <v>4B</v>
      </c>
      <c r="C74" s="25" t="e">
        <f t="shared" ca="1" si="43"/>
        <v>#N/A</v>
      </c>
      <c r="D74" s="26" t="str">
        <f t="shared" ca="1" si="44"/>
        <v>MARIELCIO(LSJC)</v>
      </c>
      <c r="E74" s="25">
        <f t="shared" ca="1" si="45"/>
        <v>47.386574506666662</v>
      </c>
    </row>
    <row r="75" spans="2:5" x14ac:dyDescent="0.15">
      <c r="B75" s="25" t="str">
        <f ca="1">VLOOKUP("4º-4",$A$46:$B$50,2,FALSE)</f>
        <v>4A</v>
      </c>
      <c r="C75" s="25" t="e">
        <f t="shared" ca="1" si="43"/>
        <v>#N/A</v>
      </c>
      <c r="D75" s="26" t="str">
        <f t="shared" ca="1" si="44"/>
        <v>PROFESSOR(LSJC)</v>
      </c>
      <c r="E75" s="25">
        <f t="shared" ca="1" si="45"/>
        <v>40.610004930000002</v>
      </c>
    </row>
    <row r="76" spans="2:5" x14ac:dyDescent="0.15">
      <c r="B76" s="25" t="e">
        <f ca="1">VLOOKUP("5º-4",$A$46:$B$50,2,FALSE)</f>
        <v>#N/A</v>
      </c>
      <c r="C76" s="25" t="e">
        <f t="shared" ca="1" si="43"/>
        <v>#N/A</v>
      </c>
      <c r="D76" s="26" t="e">
        <f t="shared" ca="1" si="44"/>
        <v>#N/A</v>
      </c>
      <c r="E76" s="25" t="e">
        <f t="shared" ca="1" si="45"/>
        <v>#N/A</v>
      </c>
    </row>
    <row r="77" spans="2:5" x14ac:dyDescent="0.15">
      <c r="B77" s="25" t="s">
        <v>63</v>
      </c>
      <c r="C77" s="25" t="e">
        <f t="shared" ca="1" si="43"/>
        <v>#N/A</v>
      </c>
      <c r="D77" s="26" t="str">
        <f t="shared" ca="1" si="44"/>
        <v>CRISTIANO JOSÉ(LSJC)</v>
      </c>
      <c r="E77" s="25">
        <f t="shared" ca="1" si="45"/>
        <v>33.843138233333327</v>
      </c>
    </row>
    <row r="78" spans="2:5" x14ac:dyDescent="0.15">
      <c r="B78" s="25" t="s">
        <v>64</v>
      </c>
      <c r="C78" s="25" t="e">
        <f t="shared" ca="1" si="43"/>
        <v>#N/A</v>
      </c>
      <c r="D78" s="26" t="str">
        <f t="shared" ca="1" si="44"/>
        <v>RODRIGO MORO(SCCP)</v>
      </c>
      <c r="E78" s="25">
        <f t="shared" ca="1" si="45"/>
        <v>-5.0009000000000002E-4</v>
      </c>
    </row>
    <row r="79" spans="2:5" x14ac:dyDescent="0.15">
      <c r="B79" s="25" t="s">
        <v>65</v>
      </c>
      <c r="C79" s="25" t="e">
        <f t="shared" ca="1" si="43"/>
        <v>#N/A</v>
      </c>
      <c r="D79" s="26" t="str">
        <f t="shared" ca="1" si="44"/>
        <v>LÉO CARIOCA(MZ)</v>
      </c>
      <c r="E79" s="25">
        <f t="shared" ca="1" si="45"/>
        <v>27.076370486666669</v>
      </c>
    </row>
    <row r="80" spans="2:5" x14ac:dyDescent="0.15">
      <c r="B80" s="25" t="s">
        <v>66</v>
      </c>
      <c r="C80" s="25" t="e">
        <f t="shared" ca="1" si="43"/>
        <v>#N/A</v>
      </c>
      <c r="D80" s="26" t="str">
        <f t="shared" ca="1" si="44"/>
        <v>MURA(MZ)</v>
      </c>
      <c r="E80" s="25">
        <f t="shared" ca="1" si="45"/>
        <v>-4.9715000000000002E-4</v>
      </c>
    </row>
    <row r="81" spans="2:5" x14ac:dyDescent="0.15">
      <c r="B81" s="25" t="s">
        <v>67</v>
      </c>
      <c r="C81" s="25" t="e">
        <f t="shared" ca="1" si="43"/>
        <v>#N/A</v>
      </c>
      <c r="D81" s="26" t="str">
        <f t="shared" ca="1" si="44"/>
        <v>SALLYS(SCCP)</v>
      </c>
      <c r="E81" s="25">
        <f t="shared" ca="1" si="45"/>
        <v>27.075873446666666</v>
      </c>
    </row>
    <row r="82" spans="2:5" x14ac:dyDescent="0.15">
      <c r="B82" s="25" t="s">
        <v>68</v>
      </c>
      <c r="C82" s="25" t="e">
        <f t="shared" ca="1" si="43"/>
        <v>#N/A</v>
      </c>
      <c r="D82" s="26" t="str">
        <f t="shared" ca="1" si="44"/>
        <v>LUIZ MOREIRA(LSJC)</v>
      </c>
      <c r="E82" s="25">
        <f t="shared" ca="1" si="45"/>
        <v>-1.09424E-3</v>
      </c>
    </row>
    <row r="83" spans="2:5" x14ac:dyDescent="0.15">
      <c r="B83" s="25" t="s">
        <v>69</v>
      </c>
      <c r="C83" s="25" t="e">
        <f t="shared" ca="1" si="43"/>
        <v>#N/A</v>
      </c>
      <c r="D83" s="26" t="str">
        <f t="shared" ca="1" si="44"/>
        <v>PEPE 2004(2004)</v>
      </c>
      <c r="E83" s="25">
        <f t="shared" ca="1" si="45"/>
        <v>40.619803660000002</v>
      </c>
    </row>
    <row r="84" spans="2:5" x14ac:dyDescent="0.15">
      <c r="B84" s="25" t="s">
        <v>70</v>
      </c>
      <c r="C84" s="25" t="e">
        <f t="shared" ca="1" si="43"/>
        <v>#N/A</v>
      </c>
      <c r="D84" s="26" t="str">
        <f t="shared" ca="1" si="44"/>
        <v>REGINALDO(SCCP)</v>
      </c>
      <c r="E84" s="25">
        <f t="shared" ca="1" si="45"/>
        <v>13.532734033333334</v>
      </c>
    </row>
    <row r="85" spans="2:5" x14ac:dyDescent="0.15">
      <c r="B85" s="25" t="s">
        <v>71</v>
      </c>
      <c r="C85" s="25" t="e">
        <f t="shared" ca="1" si="43"/>
        <v>#N/A</v>
      </c>
      <c r="D85" s="26" t="str">
        <f t="shared" ca="1" si="44"/>
        <v>ANDRÉ COELHO(SCCP)</v>
      </c>
      <c r="E85" s="25">
        <f t="shared" ca="1" si="45"/>
        <v>13.532736953333334</v>
      </c>
    </row>
    <row r="86" spans="2:5" x14ac:dyDescent="0.15">
      <c r="B86" s="25" t="s">
        <v>72</v>
      </c>
      <c r="C86" s="25" t="e">
        <f t="shared" ca="1" si="43"/>
        <v>#N/A</v>
      </c>
      <c r="D86" s="26" t="str">
        <f t="shared" ca="1" si="44"/>
        <v>DJ IURY(LSJC)</v>
      </c>
      <c r="E86" s="25">
        <f t="shared" ca="1" si="45"/>
        <v>6.7658702466666671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pane ySplit="1" topLeftCell="A2" activePane="bottomLeft" state="frozen"/>
      <selection pane="bottomLeft" activeCell="E41" sqref="E41"/>
    </sheetView>
  </sheetViews>
  <sheetFormatPr defaultColWidth="10.875" defaultRowHeight="17.25" x14ac:dyDescent="0.3"/>
  <cols>
    <col min="1" max="1" width="1.875" style="37" customWidth="1"/>
    <col min="2" max="2" width="7.875" style="54" customWidth="1"/>
    <col min="3" max="3" width="40.875" style="39" customWidth="1"/>
    <col min="4" max="12" width="8.875" style="40" customWidth="1"/>
    <col min="13" max="13" width="10.875" style="41"/>
    <col min="14" max="16384" width="10.875" style="23"/>
  </cols>
  <sheetData>
    <row r="1" spans="1:13" ht="20.25" x14ac:dyDescent="0.3">
      <c r="B1" s="38" t="s">
        <v>40</v>
      </c>
    </row>
    <row r="2" spans="1:13" x14ac:dyDescent="0.3">
      <c r="B2" s="42" t="s">
        <v>1</v>
      </c>
    </row>
    <row r="3" spans="1:13" x14ac:dyDescent="0.3">
      <c r="B3" s="43" t="s">
        <v>23</v>
      </c>
      <c r="C3" s="44" t="s">
        <v>32</v>
      </c>
      <c r="D3" s="45" t="s">
        <v>33</v>
      </c>
      <c r="E3" s="45" t="s">
        <v>34</v>
      </c>
      <c r="F3" s="45" t="s">
        <v>14</v>
      </c>
      <c r="G3" s="45" t="s">
        <v>15</v>
      </c>
      <c r="H3" s="45" t="s">
        <v>16</v>
      </c>
      <c r="I3" s="45" t="s">
        <v>17</v>
      </c>
      <c r="J3" s="45" t="s">
        <v>35</v>
      </c>
      <c r="K3" s="45" t="s">
        <v>36</v>
      </c>
      <c r="L3" s="45" t="s">
        <v>37</v>
      </c>
    </row>
    <row r="4" spans="1:13" x14ac:dyDescent="0.3">
      <c r="A4" s="37">
        <v>1</v>
      </c>
      <c r="B4" s="46">
        <f ca="1">IFERROR(VLOOKUP($A4,ClassGrupFases!$C$6:$Q$12,15,FALSE),"")</f>
        <v>1</v>
      </c>
      <c r="C4" s="47" t="str">
        <f ca="1">IFERROR(VLOOKUP($A4,ClassGrupFases!$C$6:$Q$12,2,FALSE),"")</f>
        <v>DIOGO(2004)</v>
      </c>
      <c r="D4" s="48">
        <f ca="1">IFERROR(VLOOKUP($A4,ClassGrupFases!$C$6:$Q$12,3,FALSE),"")</f>
        <v>0.8666666666666667</v>
      </c>
      <c r="E4" s="49">
        <f ca="1">IFERROR(VLOOKUP($A4,ClassGrupFases!$C$6:$Q$12,4,FALSE),"")</f>
        <v>13</v>
      </c>
      <c r="F4" s="49">
        <f ca="1">IFERROR(VLOOKUP($A4,ClassGrupFases!$C$6:$Q$12,5,FALSE),"")</f>
        <v>5</v>
      </c>
      <c r="G4" s="49">
        <f ca="1">IFERROR(VLOOKUP($A4,ClassGrupFases!$C$6:$Q$12,6,FALSE),"")</f>
        <v>4</v>
      </c>
      <c r="H4" s="49">
        <f ca="1">IFERROR(VLOOKUP($A4,ClassGrupFases!$C$6:$Q$12,7,FALSE),"")</f>
        <v>1</v>
      </c>
      <c r="I4" s="49">
        <f ca="1">IFERROR(VLOOKUP($A4,ClassGrupFases!$C$6:$Q$12,8,FALSE),"")</f>
        <v>0</v>
      </c>
      <c r="J4" s="49">
        <f ca="1">IFERROR(VLOOKUP($A4,ClassGrupFases!$C$6:$Q$12,9,FALSE),"")</f>
        <v>10</v>
      </c>
      <c r="K4" s="49">
        <f ca="1">IFERROR(VLOOKUP($A4,ClassGrupFases!$C$6:$Q$12,10,FALSE),"")</f>
        <v>4</v>
      </c>
      <c r="L4" s="49">
        <f ca="1">IFERROR(VLOOKUP($A4,ClassGrupFases!$C$6:$Q$12,11,FALSE),"")</f>
        <v>6</v>
      </c>
      <c r="M4" s="41">
        <f ca="1">IFERROR(VLOOKUP($A4,ClassGrupFases!$C$6:$Q$12,1,FALSE),"")</f>
        <v>1</v>
      </c>
    </row>
    <row r="5" spans="1:13" x14ac:dyDescent="0.3">
      <c r="A5" s="37">
        <v>2</v>
      </c>
      <c r="B5" s="46">
        <f ca="1">IFERROR(VLOOKUP($A5,ClassGrupFases!$C$6:$Q$12,15,FALSE),"")</f>
        <v>2</v>
      </c>
      <c r="C5" s="47" t="str">
        <f ca="1">IFERROR(VLOOKUP($A5,ClassGrupFases!$C$6:$Q$12,2,FALSE),"")</f>
        <v>PABLO MARTINS(SCCP)</v>
      </c>
      <c r="D5" s="48">
        <f ca="1">IFERROR(VLOOKUP($A5,ClassGrupFases!$C$6:$Q$12,3,FALSE),"")</f>
        <v>0.53333333333333333</v>
      </c>
      <c r="E5" s="49">
        <f ca="1">IFERROR(VLOOKUP($A5,ClassGrupFases!$C$6:$Q$12,4,FALSE),"")</f>
        <v>8</v>
      </c>
      <c r="F5" s="49">
        <f ca="1">IFERROR(VLOOKUP($A5,ClassGrupFases!$C$6:$Q$12,5,FALSE),"")</f>
        <v>5</v>
      </c>
      <c r="G5" s="49">
        <f ca="1">IFERROR(VLOOKUP($A5,ClassGrupFases!$C$6:$Q$12,6,FALSE),"")</f>
        <v>2</v>
      </c>
      <c r="H5" s="49">
        <f ca="1">IFERROR(VLOOKUP($A5,ClassGrupFases!$C$6:$Q$12,7,FALSE),"")</f>
        <v>2</v>
      </c>
      <c r="I5" s="49">
        <f ca="1">IFERROR(VLOOKUP($A5,ClassGrupFases!$C$6:$Q$12,8,FALSE),"")</f>
        <v>1</v>
      </c>
      <c r="J5" s="49">
        <f ca="1">IFERROR(VLOOKUP($A5,ClassGrupFases!$C$6:$Q$12,9,FALSE),"")</f>
        <v>6</v>
      </c>
      <c r="K5" s="49">
        <f ca="1">IFERROR(VLOOKUP($A5,ClassGrupFases!$C$6:$Q$12,10,FALSE),"")</f>
        <v>5</v>
      </c>
      <c r="L5" s="49">
        <f ca="1">IFERROR(VLOOKUP($A5,ClassGrupFases!$C$6:$Q$12,11,FALSE),"")</f>
        <v>1</v>
      </c>
      <c r="M5" s="41">
        <f ca="1">IFERROR(VLOOKUP($A5,ClassGrupFases!$C$6:$Q$12,1,FALSE),"")</f>
        <v>2</v>
      </c>
    </row>
    <row r="6" spans="1:13" x14ac:dyDescent="0.3">
      <c r="A6" s="37">
        <v>3</v>
      </c>
      <c r="B6" s="46">
        <f ca="1">IFERROR(VLOOKUP($A6,ClassGrupFases!$C$6:$Q$12,15,FALSE),"")</f>
        <v>3</v>
      </c>
      <c r="C6" s="47" t="str">
        <f ca="1">IFERROR(VLOOKUP($A6,ClassGrupFases!$C$6:$Q$12,2,FALSE),"")</f>
        <v>MICA(MZ)</v>
      </c>
      <c r="D6" s="48">
        <f ca="1">IFERROR(VLOOKUP($A6,ClassGrupFases!$C$6:$Q$12,3,FALSE),"")</f>
        <v>0.53333333333333333</v>
      </c>
      <c r="E6" s="49">
        <f ca="1">IFERROR(VLOOKUP($A6,ClassGrupFases!$C$6:$Q$12,4,FALSE),"")</f>
        <v>8</v>
      </c>
      <c r="F6" s="49">
        <f ca="1">IFERROR(VLOOKUP($A6,ClassGrupFases!$C$6:$Q$12,5,FALSE),"")</f>
        <v>5</v>
      </c>
      <c r="G6" s="49">
        <f ca="1">IFERROR(VLOOKUP($A6,ClassGrupFases!$C$6:$Q$12,6,FALSE),"")</f>
        <v>2</v>
      </c>
      <c r="H6" s="49">
        <f ca="1">IFERROR(VLOOKUP($A6,ClassGrupFases!$C$6:$Q$12,7,FALSE),"")</f>
        <v>2</v>
      </c>
      <c r="I6" s="49">
        <f ca="1">IFERROR(VLOOKUP($A6,ClassGrupFases!$C$6:$Q$12,8,FALSE),"")</f>
        <v>1</v>
      </c>
      <c r="J6" s="49">
        <f ca="1">IFERROR(VLOOKUP($A6,ClassGrupFases!$C$6:$Q$12,9,FALSE),"")</f>
        <v>4</v>
      </c>
      <c r="K6" s="49">
        <f ca="1">IFERROR(VLOOKUP($A6,ClassGrupFases!$C$6:$Q$12,10,FALSE),"")</f>
        <v>4</v>
      </c>
      <c r="L6" s="49">
        <f ca="1">IFERROR(VLOOKUP($A6,ClassGrupFases!$C$6:$Q$12,11,FALSE),"")</f>
        <v>0</v>
      </c>
      <c r="M6" s="41">
        <f ca="1">IFERROR(VLOOKUP($A6,ClassGrupFases!$C$6:$Q$12,1,FALSE),"")</f>
        <v>3</v>
      </c>
    </row>
    <row r="7" spans="1:13" x14ac:dyDescent="0.3">
      <c r="A7" s="37">
        <v>4</v>
      </c>
      <c r="B7" s="46">
        <f ca="1">IFERROR(VLOOKUP($A7,ClassGrupFases!$C$6:$Q$12,15,FALSE),"")</f>
        <v>4</v>
      </c>
      <c r="C7" s="47" t="str">
        <f ca="1">IFERROR(VLOOKUP($A7,ClassGrupFases!$C$6:$Q$12,2,FALSE),"")</f>
        <v>PROFESSOR(LSJC)</v>
      </c>
      <c r="D7" s="48">
        <f ca="1">IFERROR(VLOOKUP($A7,ClassGrupFases!$C$6:$Q$12,3,FALSE),"")</f>
        <v>0.4</v>
      </c>
      <c r="E7" s="49">
        <f ca="1">IFERROR(VLOOKUP($A7,ClassGrupFases!$C$6:$Q$12,4,FALSE),"")</f>
        <v>6</v>
      </c>
      <c r="F7" s="49">
        <f ca="1">IFERROR(VLOOKUP($A7,ClassGrupFases!$C$6:$Q$12,5,FALSE),"")</f>
        <v>5</v>
      </c>
      <c r="G7" s="49">
        <f ca="1">IFERROR(VLOOKUP($A7,ClassGrupFases!$C$6:$Q$12,6,FALSE),"")</f>
        <v>1</v>
      </c>
      <c r="H7" s="49">
        <f ca="1">IFERROR(VLOOKUP($A7,ClassGrupFases!$C$6:$Q$12,7,FALSE),"")</f>
        <v>3</v>
      </c>
      <c r="I7" s="49">
        <f ca="1">IFERROR(VLOOKUP($A7,ClassGrupFases!$C$6:$Q$12,8,FALSE),"")</f>
        <v>1</v>
      </c>
      <c r="J7" s="49">
        <f ca="1">IFERROR(VLOOKUP($A7,ClassGrupFases!$C$6:$Q$12,9,FALSE),"")</f>
        <v>5</v>
      </c>
      <c r="K7" s="49">
        <f ca="1">IFERROR(VLOOKUP($A7,ClassGrupFases!$C$6:$Q$12,10,FALSE),"")</f>
        <v>5</v>
      </c>
      <c r="L7" s="49">
        <f ca="1">IFERROR(VLOOKUP($A7,ClassGrupFases!$C$6:$Q$12,11,FALSE),"")</f>
        <v>0</v>
      </c>
      <c r="M7" s="41">
        <f ca="1">IFERROR(VLOOKUP($A7,ClassGrupFases!$C$6:$Q$12,1,FALSE),"")</f>
        <v>4</v>
      </c>
    </row>
    <row r="8" spans="1:13" x14ac:dyDescent="0.3">
      <c r="A8" s="37">
        <v>5</v>
      </c>
      <c r="B8" s="46">
        <f ca="1">IFERROR(VLOOKUP($A8,ClassGrupFases!$C$6:$Q$12,15,FALSE),"")</f>
        <v>5</v>
      </c>
      <c r="C8" s="47" t="str">
        <f ca="1">IFERROR(VLOOKUP($A8,ClassGrupFases!$C$6:$Q$12,2,FALSE),"")</f>
        <v>CRISTIANO JOSÉ(LSJC)</v>
      </c>
      <c r="D8" s="48">
        <f ca="1">IFERROR(VLOOKUP($A8,ClassGrupFases!$C$6:$Q$12,3,FALSE),"")</f>
        <v>0.33333333333333331</v>
      </c>
      <c r="E8" s="49">
        <f ca="1">IFERROR(VLOOKUP($A8,ClassGrupFases!$C$6:$Q$12,4,FALSE),"")</f>
        <v>5</v>
      </c>
      <c r="F8" s="49">
        <f ca="1">IFERROR(VLOOKUP($A8,ClassGrupFases!$C$6:$Q$12,5,FALSE),"")</f>
        <v>5</v>
      </c>
      <c r="G8" s="49">
        <f ca="1">IFERROR(VLOOKUP($A8,ClassGrupFases!$C$6:$Q$12,6,FALSE),"")</f>
        <v>1</v>
      </c>
      <c r="H8" s="49">
        <f ca="1">IFERROR(VLOOKUP($A8,ClassGrupFases!$C$6:$Q$12,7,FALSE),"")</f>
        <v>2</v>
      </c>
      <c r="I8" s="49">
        <f ca="1">IFERROR(VLOOKUP($A8,ClassGrupFases!$C$6:$Q$12,8,FALSE),"")</f>
        <v>2</v>
      </c>
      <c r="J8" s="49">
        <f ca="1">IFERROR(VLOOKUP($A8,ClassGrupFases!$C$6:$Q$12,9,FALSE),"")</f>
        <v>5</v>
      </c>
      <c r="K8" s="49">
        <f ca="1">IFERROR(VLOOKUP($A8,ClassGrupFases!$C$6:$Q$12,10,FALSE),"")</f>
        <v>7</v>
      </c>
      <c r="L8" s="49">
        <f ca="1">IFERROR(VLOOKUP($A8,ClassGrupFases!$C$6:$Q$12,11,FALSE),"")</f>
        <v>-2</v>
      </c>
      <c r="M8" s="41">
        <f ca="1">IFERROR(VLOOKUP($A8,ClassGrupFases!$C$6:$Q$12,1,FALSE),"")</f>
        <v>5</v>
      </c>
    </row>
    <row r="9" spans="1:13" x14ac:dyDescent="0.3">
      <c r="A9" s="37">
        <v>6</v>
      </c>
      <c r="B9" s="50">
        <f ca="1">IFERROR(VLOOKUP($A9,ClassGrupFases!$C$6:$Q$12,15,FALSE),"")</f>
        <v>6</v>
      </c>
      <c r="C9" s="51" t="str">
        <f ca="1">IFERROR(VLOOKUP($A9,ClassGrupFases!$C$6:$Q$12,2,FALSE),"")</f>
        <v>RODRIGO MORO(SCCP)</v>
      </c>
      <c r="D9" s="52">
        <f ca="1">IFERROR(VLOOKUP($A9,ClassGrupFases!$C$6:$Q$12,3,FALSE),"")</f>
        <v>0</v>
      </c>
      <c r="E9" s="53">
        <f ca="1">IFERROR(VLOOKUP($A9,ClassGrupFases!$C$6:$Q$12,4,FALSE),"")</f>
        <v>0</v>
      </c>
      <c r="F9" s="53">
        <f ca="1">IFERROR(VLOOKUP($A9,ClassGrupFases!$C$6:$Q$12,5,FALSE),"")</f>
        <v>5</v>
      </c>
      <c r="G9" s="53">
        <f ca="1">IFERROR(VLOOKUP($A9,ClassGrupFases!$C$6:$Q$12,6,FALSE),"")</f>
        <v>0</v>
      </c>
      <c r="H9" s="53">
        <f ca="1">IFERROR(VLOOKUP($A9,ClassGrupFases!$C$6:$Q$12,7,FALSE),"")</f>
        <v>0</v>
      </c>
      <c r="I9" s="53">
        <f ca="1">IFERROR(VLOOKUP($A9,ClassGrupFases!$C$6:$Q$12,8,FALSE),"")</f>
        <v>5</v>
      </c>
      <c r="J9" s="53">
        <f ca="1">IFERROR(VLOOKUP($A9,ClassGrupFases!$C$6:$Q$12,9,FALSE),"")</f>
        <v>0</v>
      </c>
      <c r="K9" s="53">
        <f ca="1">IFERROR(VLOOKUP($A9,ClassGrupFases!$C$6:$Q$12,10,FALSE),"")</f>
        <v>5</v>
      </c>
      <c r="L9" s="53">
        <f ca="1">IFERROR(VLOOKUP($A9,ClassGrupFases!$C$6:$Q$12,11,FALSE),"")</f>
        <v>-5</v>
      </c>
      <c r="M9" s="41">
        <f ca="1">IFERROR(VLOOKUP($A9,ClassGrupFases!$C$6:$Q$12,1,FALSE),"")</f>
        <v>6</v>
      </c>
    </row>
    <row r="11" spans="1:13" x14ac:dyDescent="0.3">
      <c r="B11" s="43" t="s">
        <v>24</v>
      </c>
      <c r="C11" s="44" t="s">
        <v>32</v>
      </c>
      <c r="D11" s="45" t="s">
        <v>33</v>
      </c>
      <c r="E11" s="45" t="s">
        <v>34</v>
      </c>
      <c r="F11" s="45" t="s">
        <v>14</v>
      </c>
      <c r="G11" s="45" t="s">
        <v>15</v>
      </c>
      <c r="H11" s="45" t="s">
        <v>16</v>
      </c>
      <c r="I11" s="45" t="s">
        <v>17</v>
      </c>
      <c r="J11" s="45" t="s">
        <v>35</v>
      </c>
      <c r="K11" s="45" t="s">
        <v>36</v>
      </c>
      <c r="L11" s="45" t="s">
        <v>37</v>
      </c>
    </row>
    <row r="12" spans="1:13" x14ac:dyDescent="0.3">
      <c r="A12" s="37">
        <v>1</v>
      </c>
      <c r="B12" s="46">
        <f ca="1">IFERROR(VLOOKUP($A12,ClassGrupFases!$C$14:$Q$20,15,FALSE),"")</f>
        <v>1</v>
      </c>
      <c r="C12" s="47" t="str">
        <f ca="1">IFERROR(VLOOKUP($A12,ClassGrupFases!$C$14:$Q$20,2,FALSE),"")</f>
        <v>MARCÃO SILVA(SPFC)</v>
      </c>
      <c r="D12" s="48">
        <f ca="1">IFERROR(VLOOKUP($A12,ClassGrupFases!$C$14:$Q$20,3,FALSE),"")</f>
        <v>0.8</v>
      </c>
      <c r="E12" s="49">
        <f ca="1">IFERROR(VLOOKUP($A12,ClassGrupFases!$C$14:$Q$20,4,FALSE),"")</f>
        <v>12</v>
      </c>
      <c r="F12" s="49">
        <f ca="1">IFERROR(VLOOKUP($A12,ClassGrupFases!$C$14:$Q$20,5,FALSE),"")</f>
        <v>5</v>
      </c>
      <c r="G12" s="49">
        <f ca="1">IFERROR(VLOOKUP($A12,ClassGrupFases!$C$14:$Q$20,6,FALSE),"")</f>
        <v>4</v>
      </c>
      <c r="H12" s="49">
        <f ca="1">IFERROR(VLOOKUP($A12,ClassGrupFases!$C$14:$Q$20,7,FALSE),"")</f>
        <v>0</v>
      </c>
      <c r="I12" s="49">
        <f ca="1">IFERROR(VLOOKUP($A12,ClassGrupFases!$C$14:$Q$20,8,FALSE),"")</f>
        <v>1</v>
      </c>
      <c r="J12" s="49">
        <f ca="1">IFERROR(VLOOKUP($A12,ClassGrupFases!$C$14:$Q$20,9,FALSE),"")</f>
        <v>9</v>
      </c>
      <c r="K12" s="49">
        <f ca="1">IFERROR(VLOOKUP($A12,ClassGrupFases!$C$14:$Q$20,10,FALSE),"")</f>
        <v>5</v>
      </c>
      <c r="L12" s="49">
        <f ca="1">IFERROR(VLOOKUP($A12,ClassGrupFases!$C$14:$Q$20,11,FALSE),"")</f>
        <v>4</v>
      </c>
      <c r="M12" s="41">
        <f ca="1">IFERROR(VLOOKUP($A12,ClassGrupFases!$C$14:$Q$20,1,FALSE),"")</f>
        <v>1</v>
      </c>
    </row>
    <row r="13" spans="1:13" x14ac:dyDescent="0.3">
      <c r="A13" s="37">
        <v>2</v>
      </c>
      <c r="B13" s="46">
        <f ca="1">IFERROR(VLOOKUP($A13,ClassGrupFases!$C$14:$Q$20,15,FALSE),"")</f>
        <v>2</v>
      </c>
      <c r="C13" s="47" t="str">
        <f ca="1">IFERROR(VLOOKUP($A13,ClassGrupFases!$C$14:$Q$20,2,FALSE),"")</f>
        <v>MARCOS WILLOW(SCCP)</v>
      </c>
      <c r="D13" s="48">
        <f ca="1">IFERROR(VLOOKUP($A13,ClassGrupFases!$C$14:$Q$20,3,FALSE),"")</f>
        <v>0.73333333333333328</v>
      </c>
      <c r="E13" s="49">
        <f ca="1">IFERROR(VLOOKUP($A13,ClassGrupFases!$C$14:$Q$20,4,FALSE),"")</f>
        <v>11</v>
      </c>
      <c r="F13" s="49">
        <f ca="1">IFERROR(VLOOKUP($A13,ClassGrupFases!$C$14:$Q$20,5,FALSE),"")</f>
        <v>5</v>
      </c>
      <c r="G13" s="49">
        <f ca="1">IFERROR(VLOOKUP($A13,ClassGrupFases!$C$14:$Q$20,6,FALSE),"")</f>
        <v>3</v>
      </c>
      <c r="H13" s="49">
        <f ca="1">IFERROR(VLOOKUP($A13,ClassGrupFases!$C$14:$Q$20,7,FALSE),"")</f>
        <v>2</v>
      </c>
      <c r="I13" s="49">
        <f ca="1">IFERROR(VLOOKUP($A13,ClassGrupFases!$C$14:$Q$20,8,FALSE),"")</f>
        <v>0</v>
      </c>
      <c r="J13" s="49">
        <f ca="1">IFERROR(VLOOKUP($A13,ClassGrupFases!$C$14:$Q$20,9,FALSE),"")</f>
        <v>10</v>
      </c>
      <c r="K13" s="49">
        <f ca="1">IFERROR(VLOOKUP($A13,ClassGrupFases!$C$14:$Q$20,10,FALSE),"")</f>
        <v>4</v>
      </c>
      <c r="L13" s="49">
        <f ca="1">IFERROR(VLOOKUP($A13,ClassGrupFases!$C$14:$Q$20,11,FALSE),"")</f>
        <v>6</v>
      </c>
      <c r="M13" s="41">
        <f ca="1">IFERROR(VLOOKUP($A13,ClassGrupFases!$C$14:$Q$20,1,FALSE),"")</f>
        <v>2</v>
      </c>
    </row>
    <row r="14" spans="1:13" x14ac:dyDescent="0.3">
      <c r="A14" s="37">
        <v>3</v>
      </c>
      <c r="B14" s="46">
        <f ca="1">IFERROR(VLOOKUP($A14,ClassGrupFases!$C$14:$Q$20,15,FALSE),"")</f>
        <v>3</v>
      </c>
      <c r="C14" s="47" t="str">
        <f ca="1">IFERROR(VLOOKUP($A14,ClassGrupFases!$C$14:$Q$20,2,FALSE),"")</f>
        <v>TERUEL(SCCP)</v>
      </c>
      <c r="D14" s="48">
        <f ca="1">IFERROR(VLOOKUP($A14,ClassGrupFases!$C$14:$Q$20,3,FALSE),"")</f>
        <v>0.6</v>
      </c>
      <c r="E14" s="49">
        <f ca="1">IFERROR(VLOOKUP($A14,ClassGrupFases!$C$14:$Q$20,4,FALSE),"")</f>
        <v>9</v>
      </c>
      <c r="F14" s="49">
        <f ca="1">IFERROR(VLOOKUP($A14,ClassGrupFases!$C$14:$Q$20,5,FALSE),"")</f>
        <v>5</v>
      </c>
      <c r="G14" s="49">
        <f ca="1">IFERROR(VLOOKUP($A14,ClassGrupFases!$C$14:$Q$20,6,FALSE),"")</f>
        <v>3</v>
      </c>
      <c r="H14" s="49">
        <f ca="1">IFERROR(VLOOKUP($A14,ClassGrupFases!$C$14:$Q$20,7,FALSE),"")</f>
        <v>0</v>
      </c>
      <c r="I14" s="49">
        <f ca="1">IFERROR(VLOOKUP($A14,ClassGrupFases!$C$14:$Q$20,8,FALSE),"")</f>
        <v>2</v>
      </c>
      <c r="J14" s="49">
        <f ca="1">IFERROR(VLOOKUP($A14,ClassGrupFases!$C$14:$Q$20,9,FALSE),"")</f>
        <v>7</v>
      </c>
      <c r="K14" s="49">
        <f ca="1">IFERROR(VLOOKUP($A14,ClassGrupFases!$C$14:$Q$20,10,FALSE),"")</f>
        <v>8</v>
      </c>
      <c r="L14" s="49">
        <f ca="1">IFERROR(VLOOKUP($A14,ClassGrupFases!$C$14:$Q$20,11,FALSE),"")</f>
        <v>-1</v>
      </c>
      <c r="M14" s="41">
        <f ca="1">IFERROR(VLOOKUP($A14,ClassGrupFases!$C$14:$Q$20,1,FALSE),"")</f>
        <v>3</v>
      </c>
    </row>
    <row r="15" spans="1:13" x14ac:dyDescent="0.3">
      <c r="A15" s="37">
        <v>4</v>
      </c>
      <c r="B15" s="46">
        <f ca="1">IFERROR(VLOOKUP($A15,ClassGrupFases!$C$14:$Q$20,15,FALSE),"")</f>
        <v>4</v>
      </c>
      <c r="C15" s="47" t="str">
        <f ca="1">IFERROR(VLOOKUP($A15,ClassGrupFases!$C$14:$Q$20,2,FALSE),"")</f>
        <v>MARIELCIO(LSJC)</v>
      </c>
      <c r="D15" s="48">
        <f ca="1">IFERROR(VLOOKUP($A15,ClassGrupFases!$C$14:$Q$20,3,FALSE),"")</f>
        <v>0.46666666666666667</v>
      </c>
      <c r="E15" s="49">
        <f ca="1">IFERROR(VLOOKUP($A15,ClassGrupFases!$C$14:$Q$20,4,FALSE),"")</f>
        <v>7</v>
      </c>
      <c r="F15" s="49">
        <f ca="1">IFERROR(VLOOKUP($A15,ClassGrupFases!$C$14:$Q$20,5,FALSE),"")</f>
        <v>5</v>
      </c>
      <c r="G15" s="49">
        <f ca="1">IFERROR(VLOOKUP($A15,ClassGrupFases!$C$14:$Q$20,6,FALSE),"")</f>
        <v>2</v>
      </c>
      <c r="H15" s="49">
        <f ca="1">IFERROR(VLOOKUP($A15,ClassGrupFases!$C$14:$Q$20,7,FALSE),"")</f>
        <v>1</v>
      </c>
      <c r="I15" s="49">
        <f ca="1">IFERROR(VLOOKUP($A15,ClassGrupFases!$C$14:$Q$20,8,FALSE),"")</f>
        <v>2</v>
      </c>
      <c r="J15" s="49">
        <f ca="1">IFERROR(VLOOKUP($A15,ClassGrupFases!$C$14:$Q$20,9,FALSE),"")</f>
        <v>8</v>
      </c>
      <c r="K15" s="49">
        <f ca="1">IFERROR(VLOOKUP($A15,ClassGrupFases!$C$14:$Q$20,10,FALSE),"")</f>
        <v>9</v>
      </c>
      <c r="L15" s="49">
        <f ca="1">IFERROR(VLOOKUP($A15,ClassGrupFases!$C$14:$Q$20,11,FALSE),"")</f>
        <v>-1</v>
      </c>
      <c r="M15" s="41">
        <f ca="1">IFERROR(VLOOKUP($A15,ClassGrupFases!$C$14:$Q$20,1,FALSE),"")</f>
        <v>4</v>
      </c>
    </row>
    <row r="16" spans="1:13" x14ac:dyDescent="0.3">
      <c r="A16" s="37">
        <v>5</v>
      </c>
      <c r="B16" s="46">
        <f ca="1">IFERROR(VLOOKUP($A16,ClassGrupFases!$C$14:$Q$20,15,FALSE),"")</f>
        <v>5</v>
      </c>
      <c r="C16" s="47" t="str">
        <f ca="1">IFERROR(VLOOKUP($A16,ClassGrupFases!$C$14:$Q$20,2,FALSE),"")</f>
        <v>LÉO CARIOCA(MZ)</v>
      </c>
      <c r="D16" s="48">
        <f ca="1">IFERROR(VLOOKUP($A16,ClassGrupFases!$C$14:$Q$20,3,FALSE),"")</f>
        <v>0.26666666666666666</v>
      </c>
      <c r="E16" s="49">
        <f ca="1">IFERROR(VLOOKUP($A16,ClassGrupFases!$C$14:$Q$20,4,FALSE),"")</f>
        <v>4</v>
      </c>
      <c r="F16" s="49">
        <f ca="1">IFERROR(VLOOKUP($A16,ClassGrupFases!$C$14:$Q$20,5,FALSE),"")</f>
        <v>5</v>
      </c>
      <c r="G16" s="49">
        <f ca="1">IFERROR(VLOOKUP($A16,ClassGrupFases!$C$14:$Q$20,6,FALSE),"")</f>
        <v>1</v>
      </c>
      <c r="H16" s="49">
        <f ca="1">IFERROR(VLOOKUP($A16,ClassGrupFases!$C$14:$Q$20,7,FALSE),"")</f>
        <v>1</v>
      </c>
      <c r="I16" s="49">
        <f ca="1">IFERROR(VLOOKUP($A16,ClassGrupFases!$C$14:$Q$20,8,FALSE),"")</f>
        <v>3</v>
      </c>
      <c r="J16" s="49">
        <f ca="1">IFERROR(VLOOKUP($A16,ClassGrupFases!$C$14:$Q$20,9,FALSE),"")</f>
        <v>4</v>
      </c>
      <c r="K16" s="49">
        <f ca="1">IFERROR(VLOOKUP($A16,ClassGrupFases!$C$14:$Q$20,10,FALSE),"")</f>
        <v>7</v>
      </c>
      <c r="L16" s="49">
        <f ca="1">IFERROR(VLOOKUP($A16,ClassGrupFases!$C$14:$Q$20,11,FALSE),"")</f>
        <v>-3</v>
      </c>
      <c r="M16" s="41">
        <f ca="1">IFERROR(VLOOKUP($A16,ClassGrupFases!$C$14:$Q$20,1,FALSE),"")</f>
        <v>5</v>
      </c>
    </row>
    <row r="17" spans="1:13" x14ac:dyDescent="0.3">
      <c r="A17" s="37">
        <v>6</v>
      </c>
      <c r="B17" s="50">
        <f ca="1">IFERROR(VLOOKUP($A17,ClassGrupFases!$C$14:$Q$20,15,FALSE),"")</f>
        <v>6</v>
      </c>
      <c r="C17" s="51" t="str">
        <f ca="1">IFERROR(VLOOKUP($A17,ClassGrupFases!$C$14:$Q$20,2,FALSE),"")</f>
        <v>MURA(MZ)</v>
      </c>
      <c r="D17" s="52">
        <f ca="1">IFERROR(VLOOKUP($A17,ClassGrupFases!$C$14:$Q$20,3,FALSE),"")</f>
        <v>0</v>
      </c>
      <c r="E17" s="53">
        <f ca="1">IFERROR(VLOOKUP($A17,ClassGrupFases!$C$14:$Q$20,4,FALSE),"")</f>
        <v>0</v>
      </c>
      <c r="F17" s="53">
        <f ca="1">IFERROR(VLOOKUP($A17,ClassGrupFases!$C$14:$Q$20,5,FALSE),"")</f>
        <v>5</v>
      </c>
      <c r="G17" s="53">
        <f ca="1">IFERROR(VLOOKUP($A17,ClassGrupFases!$C$14:$Q$20,6,FALSE),"")</f>
        <v>0</v>
      </c>
      <c r="H17" s="53">
        <f ca="1">IFERROR(VLOOKUP($A17,ClassGrupFases!$C$14:$Q$20,7,FALSE),"")</f>
        <v>0</v>
      </c>
      <c r="I17" s="53">
        <f ca="1">IFERROR(VLOOKUP($A17,ClassGrupFases!$C$14:$Q$20,8,FALSE),"")</f>
        <v>5</v>
      </c>
      <c r="J17" s="53">
        <f ca="1">IFERROR(VLOOKUP($A17,ClassGrupFases!$C$14:$Q$20,9,FALSE),"")</f>
        <v>3</v>
      </c>
      <c r="K17" s="53">
        <f ca="1">IFERROR(VLOOKUP($A17,ClassGrupFases!$C$14:$Q$20,10,FALSE),"")</f>
        <v>8</v>
      </c>
      <c r="L17" s="53">
        <f ca="1">IFERROR(VLOOKUP($A17,ClassGrupFases!$C$14:$Q$20,11,FALSE),"")</f>
        <v>-5</v>
      </c>
      <c r="M17" s="41">
        <f ca="1">IFERROR(VLOOKUP($A17,ClassGrupFases!$C$14:$Q$20,1,FALSE),"")</f>
        <v>6</v>
      </c>
    </row>
    <row r="19" spans="1:13" x14ac:dyDescent="0.3">
      <c r="B19" s="43" t="s">
        <v>25</v>
      </c>
      <c r="C19" s="44" t="s">
        <v>32</v>
      </c>
      <c r="D19" s="45" t="s">
        <v>33</v>
      </c>
      <c r="E19" s="45" t="s">
        <v>34</v>
      </c>
      <c r="F19" s="45" t="s">
        <v>14</v>
      </c>
      <c r="G19" s="45" t="s">
        <v>15</v>
      </c>
      <c r="H19" s="45" t="s">
        <v>16</v>
      </c>
      <c r="I19" s="45" t="s">
        <v>17</v>
      </c>
      <c r="J19" s="45" t="s">
        <v>35</v>
      </c>
      <c r="K19" s="45" t="s">
        <v>36</v>
      </c>
      <c r="L19" s="45" t="s">
        <v>37</v>
      </c>
    </row>
    <row r="20" spans="1:13" x14ac:dyDescent="0.3">
      <c r="A20" s="37">
        <v>1</v>
      </c>
      <c r="B20" s="46">
        <f ca="1">IFERROR(VLOOKUP($A20,ClassGrupFases!$C$22:$Q$28,15,FALSE),"")</f>
        <v>1</v>
      </c>
      <c r="C20" s="47" t="str">
        <f ca="1">IFERROR(VLOOKUP($A20,ClassGrupFases!$C$22:$Q$28,2,FALSE),"")</f>
        <v>RUAS(2004)</v>
      </c>
      <c r="D20" s="48">
        <f ca="1">IFERROR(VLOOKUP($A20,ClassGrupFases!$C$22:$Q$28,3,FALSE),"")</f>
        <v>0.73333333333333328</v>
      </c>
      <c r="E20" s="49">
        <f ca="1">IFERROR(VLOOKUP($A20,ClassGrupFases!$C$22:$Q$28,4,FALSE),"")</f>
        <v>11</v>
      </c>
      <c r="F20" s="49">
        <f ca="1">IFERROR(VLOOKUP($A20,ClassGrupFases!$C$22:$Q$28,5,FALSE),"")</f>
        <v>5</v>
      </c>
      <c r="G20" s="49">
        <f ca="1">IFERROR(VLOOKUP($A20,ClassGrupFases!$C$22:$Q$28,6,FALSE),"")</f>
        <v>3</v>
      </c>
      <c r="H20" s="49">
        <f ca="1">IFERROR(VLOOKUP($A20,ClassGrupFases!$C$22:$Q$28,7,FALSE),"")</f>
        <v>2</v>
      </c>
      <c r="I20" s="49">
        <f ca="1">IFERROR(VLOOKUP($A20,ClassGrupFases!$C$22:$Q$28,8,FALSE),"")</f>
        <v>0</v>
      </c>
      <c r="J20" s="49">
        <f ca="1">IFERROR(VLOOKUP($A20,ClassGrupFases!$C$22:$Q$28,9,FALSE),"")</f>
        <v>10</v>
      </c>
      <c r="K20" s="49">
        <f ca="1">IFERROR(VLOOKUP($A20,ClassGrupFases!$C$22:$Q$28,10,FALSE),"")</f>
        <v>4</v>
      </c>
      <c r="L20" s="49">
        <f ca="1">IFERROR(VLOOKUP($A20,ClassGrupFases!$C$22:$Q$28,11,FALSE),"")</f>
        <v>6</v>
      </c>
      <c r="M20" s="41">
        <f ca="1">IFERROR(VLOOKUP($A20,ClassGrupFases!$C$22:$Q$28,1,FALSE),"")</f>
        <v>1</v>
      </c>
    </row>
    <row r="21" spans="1:13" x14ac:dyDescent="0.3">
      <c r="A21" s="37">
        <v>2</v>
      </c>
      <c r="B21" s="46">
        <f ca="1">IFERROR(VLOOKUP($A21,ClassGrupFases!$C$22:$Q$28,15,FALSE),"")</f>
        <v>2</v>
      </c>
      <c r="C21" s="47" t="str">
        <f ca="1">IFERROR(VLOOKUP($A21,ClassGrupFases!$C$22:$Q$28,2,FALSE),"")</f>
        <v>ELSIO(SPFC)</v>
      </c>
      <c r="D21" s="48">
        <f ca="1">IFERROR(VLOOKUP($A21,ClassGrupFases!$C$22:$Q$28,3,FALSE),"")</f>
        <v>0.66666666666666663</v>
      </c>
      <c r="E21" s="49">
        <f ca="1">IFERROR(VLOOKUP($A21,ClassGrupFases!$C$22:$Q$28,4,FALSE),"")</f>
        <v>10</v>
      </c>
      <c r="F21" s="49">
        <f ca="1">IFERROR(VLOOKUP($A21,ClassGrupFases!$C$22:$Q$28,5,FALSE),"")</f>
        <v>5</v>
      </c>
      <c r="G21" s="49">
        <f ca="1">IFERROR(VLOOKUP($A21,ClassGrupFases!$C$22:$Q$28,6,FALSE),"")</f>
        <v>3</v>
      </c>
      <c r="H21" s="49">
        <f ca="1">IFERROR(VLOOKUP($A21,ClassGrupFases!$C$22:$Q$28,7,FALSE),"")</f>
        <v>1</v>
      </c>
      <c r="I21" s="49">
        <f ca="1">IFERROR(VLOOKUP($A21,ClassGrupFases!$C$22:$Q$28,8,FALSE),"")</f>
        <v>1</v>
      </c>
      <c r="J21" s="49">
        <f ca="1">IFERROR(VLOOKUP($A21,ClassGrupFases!$C$22:$Q$28,9,FALSE),"")</f>
        <v>12</v>
      </c>
      <c r="K21" s="49">
        <f ca="1">IFERROR(VLOOKUP($A21,ClassGrupFases!$C$22:$Q$28,10,FALSE),"")</f>
        <v>9</v>
      </c>
      <c r="L21" s="49">
        <f ca="1">IFERROR(VLOOKUP($A21,ClassGrupFases!$C$22:$Q$28,11,FALSE),"")</f>
        <v>3</v>
      </c>
      <c r="M21" s="41">
        <f ca="1">IFERROR(VLOOKUP($A21,ClassGrupFases!$C$22:$Q$28,1,FALSE),"")</f>
        <v>2</v>
      </c>
    </row>
    <row r="22" spans="1:13" x14ac:dyDescent="0.3">
      <c r="A22" s="37">
        <v>3</v>
      </c>
      <c r="B22" s="46">
        <f ca="1">IFERROR(VLOOKUP($A22,ClassGrupFases!$C$22:$Q$28,15,FALSE),"")</f>
        <v>3</v>
      </c>
      <c r="C22" s="47" t="str">
        <f ca="1">IFERROR(VLOOKUP($A22,ClassGrupFases!$C$22:$Q$28,2,FALSE),"")</f>
        <v>VINICIUS ROLIM(SCCP)</v>
      </c>
      <c r="D22" s="48">
        <f ca="1">IFERROR(VLOOKUP($A22,ClassGrupFases!$C$22:$Q$28,3,FALSE),"")</f>
        <v>0.6</v>
      </c>
      <c r="E22" s="49">
        <f ca="1">IFERROR(VLOOKUP($A22,ClassGrupFases!$C$22:$Q$28,4,FALSE),"")</f>
        <v>9</v>
      </c>
      <c r="F22" s="49">
        <f ca="1">IFERROR(VLOOKUP($A22,ClassGrupFases!$C$22:$Q$28,5,FALSE),"")</f>
        <v>5</v>
      </c>
      <c r="G22" s="49">
        <f ca="1">IFERROR(VLOOKUP($A22,ClassGrupFases!$C$22:$Q$28,6,FALSE),"")</f>
        <v>3</v>
      </c>
      <c r="H22" s="49">
        <f ca="1">IFERROR(VLOOKUP($A22,ClassGrupFases!$C$22:$Q$28,7,FALSE),"")</f>
        <v>0</v>
      </c>
      <c r="I22" s="49">
        <f ca="1">IFERROR(VLOOKUP($A22,ClassGrupFases!$C$22:$Q$28,8,FALSE),"")</f>
        <v>2</v>
      </c>
      <c r="J22" s="49">
        <f ca="1">IFERROR(VLOOKUP($A22,ClassGrupFases!$C$22:$Q$28,9,FALSE),"")</f>
        <v>17</v>
      </c>
      <c r="K22" s="49">
        <f ca="1">IFERROR(VLOOKUP($A22,ClassGrupFases!$C$22:$Q$28,10,FALSE),"")</f>
        <v>9</v>
      </c>
      <c r="L22" s="49">
        <f ca="1">IFERROR(VLOOKUP($A22,ClassGrupFases!$C$22:$Q$28,11,FALSE),"")</f>
        <v>8</v>
      </c>
      <c r="M22" s="41">
        <f ca="1">IFERROR(VLOOKUP($A22,ClassGrupFases!$C$22:$Q$28,1,FALSE),"")</f>
        <v>3</v>
      </c>
    </row>
    <row r="23" spans="1:13" x14ac:dyDescent="0.3">
      <c r="A23" s="37">
        <v>4</v>
      </c>
      <c r="B23" s="46">
        <f ca="1">IFERROR(VLOOKUP($A23,ClassGrupFases!$C$22:$Q$28,15,FALSE),"")</f>
        <v>4</v>
      </c>
      <c r="C23" s="47" t="str">
        <f ca="1">IFERROR(VLOOKUP($A23,ClassGrupFases!$C$22:$Q$28,2,FALSE),"")</f>
        <v>ERISMAR(MZ)</v>
      </c>
      <c r="D23" s="48">
        <f ca="1">IFERROR(VLOOKUP($A23,ClassGrupFases!$C$22:$Q$28,3,FALSE),"")</f>
        <v>0.53333333333333333</v>
      </c>
      <c r="E23" s="49">
        <f ca="1">IFERROR(VLOOKUP($A23,ClassGrupFases!$C$22:$Q$28,4,FALSE),"")</f>
        <v>8</v>
      </c>
      <c r="F23" s="49">
        <f ca="1">IFERROR(VLOOKUP($A23,ClassGrupFases!$C$22:$Q$28,5,FALSE),"")</f>
        <v>5</v>
      </c>
      <c r="G23" s="49">
        <f ca="1">IFERROR(VLOOKUP($A23,ClassGrupFases!$C$22:$Q$28,6,FALSE),"")</f>
        <v>2</v>
      </c>
      <c r="H23" s="49">
        <f ca="1">IFERROR(VLOOKUP($A23,ClassGrupFases!$C$22:$Q$28,7,FALSE),"")</f>
        <v>2</v>
      </c>
      <c r="I23" s="49">
        <f ca="1">IFERROR(VLOOKUP($A23,ClassGrupFases!$C$22:$Q$28,8,FALSE),"")</f>
        <v>1</v>
      </c>
      <c r="J23" s="49">
        <f ca="1">IFERROR(VLOOKUP($A23,ClassGrupFases!$C$22:$Q$28,9,FALSE),"")</f>
        <v>9</v>
      </c>
      <c r="K23" s="49">
        <f ca="1">IFERROR(VLOOKUP($A23,ClassGrupFases!$C$22:$Q$28,10,FALSE),"")</f>
        <v>7</v>
      </c>
      <c r="L23" s="49">
        <f ca="1">IFERROR(VLOOKUP($A23,ClassGrupFases!$C$22:$Q$28,11,FALSE),"")</f>
        <v>2</v>
      </c>
      <c r="M23" s="41">
        <f ca="1">IFERROR(VLOOKUP($A23,ClassGrupFases!$C$22:$Q$28,1,FALSE),"")</f>
        <v>4</v>
      </c>
    </row>
    <row r="24" spans="1:13" x14ac:dyDescent="0.3">
      <c r="A24" s="37">
        <v>5</v>
      </c>
      <c r="B24" s="46">
        <f ca="1">IFERROR(VLOOKUP($A24,ClassGrupFases!$C$22:$Q$28,15,FALSE),"")</f>
        <v>5</v>
      </c>
      <c r="C24" s="47" t="str">
        <f ca="1">IFERROR(VLOOKUP($A24,ClassGrupFases!$C$22:$Q$28,2,FALSE),"")</f>
        <v>SALLYS(SCCP)</v>
      </c>
      <c r="D24" s="48">
        <f ca="1">IFERROR(VLOOKUP($A24,ClassGrupFases!$C$22:$Q$28,3,FALSE),"")</f>
        <v>0.26666666666666666</v>
      </c>
      <c r="E24" s="49">
        <f ca="1">IFERROR(VLOOKUP($A24,ClassGrupFases!$C$22:$Q$28,4,FALSE),"")</f>
        <v>4</v>
      </c>
      <c r="F24" s="49">
        <f ca="1">IFERROR(VLOOKUP($A24,ClassGrupFases!$C$22:$Q$28,5,FALSE),"")</f>
        <v>5</v>
      </c>
      <c r="G24" s="49">
        <f ca="1">IFERROR(VLOOKUP($A24,ClassGrupFases!$C$22:$Q$28,6,FALSE),"")</f>
        <v>1</v>
      </c>
      <c r="H24" s="49">
        <f ca="1">IFERROR(VLOOKUP($A24,ClassGrupFases!$C$22:$Q$28,7,FALSE),"")</f>
        <v>1</v>
      </c>
      <c r="I24" s="49">
        <f ca="1">IFERROR(VLOOKUP($A24,ClassGrupFases!$C$22:$Q$28,8,FALSE),"")</f>
        <v>3</v>
      </c>
      <c r="J24" s="49">
        <f ca="1">IFERROR(VLOOKUP($A24,ClassGrupFases!$C$22:$Q$28,9,FALSE),"")</f>
        <v>7</v>
      </c>
      <c r="K24" s="49">
        <f ca="1">IFERROR(VLOOKUP($A24,ClassGrupFases!$C$22:$Q$28,10,FALSE),"")</f>
        <v>15</v>
      </c>
      <c r="L24" s="49">
        <f ca="1">IFERROR(VLOOKUP($A24,ClassGrupFases!$C$22:$Q$28,11,FALSE),"")</f>
        <v>-8</v>
      </c>
      <c r="M24" s="41">
        <f ca="1">IFERROR(VLOOKUP($A24,ClassGrupFases!$C$22:$Q$28,1,FALSE),"")</f>
        <v>5</v>
      </c>
    </row>
    <row r="25" spans="1:13" x14ac:dyDescent="0.3">
      <c r="A25" s="37">
        <v>6</v>
      </c>
      <c r="B25" s="50">
        <f ca="1">IFERROR(VLOOKUP($A25,ClassGrupFases!$C$22:$Q$28,15,FALSE),"")</f>
        <v>6</v>
      </c>
      <c r="C25" s="51" t="str">
        <f ca="1">IFERROR(VLOOKUP($A25,ClassGrupFases!$C$22:$Q$28,2,FALSE),"")</f>
        <v>LUIZ MOREIRA(LSJC)</v>
      </c>
      <c r="D25" s="52">
        <f ca="1">IFERROR(VLOOKUP($A25,ClassGrupFases!$C$22:$Q$28,3,FALSE),"")</f>
        <v>0</v>
      </c>
      <c r="E25" s="53">
        <f ca="1">IFERROR(VLOOKUP($A25,ClassGrupFases!$C$22:$Q$28,4,FALSE),"")</f>
        <v>0</v>
      </c>
      <c r="F25" s="53">
        <f ca="1">IFERROR(VLOOKUP($A25,ClassGrupFases!$C$22:$Q$28,5,FALSE),"")</f>
        <v>5</v>
      </c>
      <c r="G25" s="53">
        <f ca="1">IFERROR(VLOOKUP($A25,ClassGrupFases!$C$22:$Q$28,6,FALSE),"")</f>
        <v>0</v>
      </c>
      <c r="H25" s="53">
        <f ca="1">IFERROR(VLOOKUP($A25,ClassGrupFases!$C$22:$Q$28,7,FALSE),"")</f>
        <v>0</v>
      </c>
      <c r="I25" s="53">
        <f ca="1">IFERROR(VLOOKUP($A25,ClassGrupFases!$C$22:$Q$28,8,FALSE),"")</f>
        <v>5</v>
      </c>
      <c r="J25" s="53">
        <f ca="1">IFERROR(VLOOKUP($A25,ClassGrupFases!$C$22:$Q$28,9,FALSE),"")</f>
        <v>6</v>
      </c>
      <c r="K25" s="53">
        <f ca="1">IFERROR(VLOOKUP($A25,ClassGrupFases!$C$22:$Q$28,10,FALSE),"")</f>
        <v>17</v>
      </c>
      <c r="L25" s="53">
        <f ca="1">IFERROR(VLOOKUP($A25,ClassGrupFases!$C$22:$Q$28,11,FALSE),"")</f>
        <v>-11</v>
      </c>
      <c r="M25" s="41">
        <f ca="1">IFERROR(VLOOKUP($A25,ClassGrupFases!$C$22:$Q$28,1,FALSE),"")</f>
        <v>6</v>
      </c>
    </row>
    <row r="27" spans="1:13" x14ac:dyDescent="0.3">
      <c r="B27" s="43" t="s">
        <v>17</v>
      </c>
      <c r="C27" s="44" t="s">
        <v>32</v>
      </c>
      <c r="D27" s="45" t="s">
        <v>33</v>
      </c>
      <c r="E27" s="45" t="s">
        <v>34</v>
      </c>
      <c r="F27" s="45" t="s">
        <v>14</v>
      </c>
      <c r="G27" s="45" t="s">
        <v>15</v>
      </c>
      <c r="H27" s="45" t="s">
        <v>16</v>
      </c>
      <c r="I27" s="45" t="s">
        <v>17</v>
      </c>
      <c r="J27" s="45" t="s">
        <v>35</v>
      </c>
      <c r="K27" s="45" t="s">
        <v>36</v>
      </c>
      <c r="L27" s="45" t="s">
        <v>37</v>
      </c>
    </row>
    <row r="28" spans="1:13" x14ac:dyDescent="0.3">
      <c r="A28" s="37">
        <v>1</v>
      </c>
      <c r="B28" s="46">
        <f ca="1">IFERROR(VLOOKUP($A28,ClassGrupFases!$C$30:$Q$36,15,FALSE),"")</f>
        <v>1</v>
      </c>
      <c r="C28" s="47" t="str">
        <f ca="1">IFERROR(VLOOKUP($A28,ClassGrupFases!$C$30:$Q$36,2,FALSE),"")</f>
        <v>TUPINAMBÁ(LSJC)</v>
      </c>
      <c r="D28" s="48">
        <f ca="1">IFERROR(VLOOKUP($A28,ClassGrupFases!$C$30:$Q$36,3,FALSE),"")</f>
        <v>0.66666666666666663</v>
      </c>
      <c r="E28" s="49">
        <f ca="1">IFERROR(VLOOKUP($A28,ClassGrupFases!$C$30:$Q$36,4,FALSE),"")</f>
        <v>10</v>
      </c>
      <c r="F28" s="49">
        <f ca="1">IFERROR(VLOOKUP($A28,ClassGrupFases!$C$30:$Q$36,5,FALSE),"")</f>
        <v>5</v>
      </c>
      <c r="G28" s="49">
        <f ca="1">IFERROR(VLOOKUP($A28,ClassGrupFases!$C$30:$Q$36,6,FALSE),"")</f>
        <v>3</v>
      </c>
      <c r="H28" s="49">
        <f ca="1">IFERROR(VLOOKUP($A28,ClassGrupFases!$C$30:$Q$36,7,FALSE),"")</f>
        <v>1</v>
      </c>
      <c r="I28" s="49">
        <f ca="1">IFERROR(VLOOKUP($A28,ClassGrupFases!$C$30:$Q$36,8,FALSE),"")</f>
        <v>1</v>
      </c>
      <c r="J28" s="49">
        <f ca="1">IFERROR(VLOOKUP($A28,ClassGrupFases!$C$30:$Q$36,9,FALSE),"")</f>
        <v>7</v>
      </c>
      <c r="K28" s="49">
        <f ca="1">IFERROR(VLOOKUP($A28,ClassGrupFases!$C$30:$Q$36,10,FALSE),"")</f>
        <v>6</v>
      </c>
      <c r="L28" s="49">
        <f ca="1">IFERROR(VLOOKUP($A28,ClassGrupFases!$C$30:$Q$36,11,FALSE),"")</f>
        <v>1</v>
      </c>
      <c r="M28" s="41">
        <f ca="1">IFERROR(VLOOKUP($A28,ClassGrupFases!$C$30:$Q$36,1,FALSE),"")</f>
        <v>1</v>
      </c>
    </row>
    <row r="29" spans="1:13" x14ac:dyDescent="0.3">
      <c r="A29" s="37">
        <v>2</v>
      </c>
      <c r="B29" s="46">
        <f ca="1">IFERROR(VLOOKUP($A29,ClassGrupFases!$C$30:$Q$36,15,FALSE),"")</f>
        <v>2</v>
      </c>
      <c r="C29" s="47" t="str">
        <f ca="1">IFERROR(VLOOKUP($A29,ClassGrupFases!$C$30:$Q$36,2,FALSE),"")</f>
        <v>GALDEANO(SCCP)</v>
      </c>
      <c r="D29" s="48">
        <f ca="1">IFERROR(VLOOKUP($A29,ClassGrupFases!$C$30:$Q$36,3,FALSE),"")</f>
        <v>0.53333333333333333</v>
      </c>
      <c r="E29" s="49">
        <f ca="1">IFERROR(VLOOKUP($A29,ClassGrupFases!$C$30:$Q$36,4,FALSE),"")</f>
        <v>8</v>
      </c>
      <c r="F29" s="49">
        <f ca="1">IFERROR(VLOOKUP($A29,ClassGrupFases!$C$30:$Q$36,5,FALSE),"")</f>
        <v>5</v>
      </c>
      <c r="G29" s="49">
        <f ca="1">IFERROR(VLOOKUP($A29,ClassGrupFases!$C$30:$Q$36,6,FALSE),"")</f>
        <v>2</v>
      </c>
      <c r="H29" s="49">
        <f ca="1">IFERROR(VLOOKUP($A29,ClassGrupFases!$C$30:$Q$36,7,FALSE),"")</f>
        <v>2</v>
      </c>
      <c r="I29" s="49">
        <f ca="1">IFERROR(VLOOKUP($A29,ClassGrupFases!$C$30:$Q$36,8,FALSE),"")</f>
        <v>1</v>
      </c>
      <c r="J29" s="49">
        <f ca="1">IFERROR(VLOOKUP($A29,ClassGrupFases!$C$30:$Q$36,9,FALSE),"")</f>
        <v>11</v>
      </c>
      <c r="K29" s="49">
        <f ca="1">IFERROR(VLOOKUP($A29,ClassGrupFases!$C$30:$Q$36,10,FALSE),"")</f>
        <v>6</v>
      </c>
      <c r="L29" s="49">
        <f ca="1">IFERROR(VLOOKUP($A29,ClassGrupFases!$C$30:$Q$36,11,FALSE),"")</f>
        <v>5</v>
      </c>
      <c r="M29" s="41">
        <f ca="1">IFERROR(VLOOKUP($A29,ClassGrupFases!$C$30:$Q$36,1,FALSE),"")</f>
        <v>2</v>
      </c>
    </row>
    <row r="30" spans="1:13" x14ac:dyDescent="0.3">
      <c r="A30" s="37">
        <v>3</v>
      </c>
      <c r="B30" s="46">
        <f ca="1">IFERROR(VLOOKUP($A30,ClassGrupFases!$C$30:$Q$36,15,FALSE),"")</f>
        <v>3</v>
      </c>
      <c r="C30" s="47" t="str">
        <f ca="1">IFERROR(VLOOKUP($A30,ClassGrupFases!$C$30:$Q$36,2,FALSE),"")</f>
        <v>ZÉ LUIZ(SPFC)</v>
      </c>
      <c r="D30" s="48">
        <f ca="1">IFERROR(VLOOKUP($A30,ClassGrupFases!$C$30:$Q$36,3,FALSE),"")</f>
        <v>0.53333333333333333</v>
      </c>
      <c r="E30" s="49">
        <f ca="1">IFERROR(VLOOKUP($A30,ClassGrupFases!$C$30:$Q$36,4,FALSE),"")</f>
        <v>8</v>
      </c>
      <c r="F30" s="49">
        <f ca="1">IFERROR(VLOOKUP($A30,ClassGrupFases!$C$30:$Q$36,5,FALSE),"")</f>
        <v>5</v>
      </c>
      <c r="G30" s="49">
        <f ca="1">IFERROR(VLOOKUP($A30,ClassGrupFases!$C$30:$Q$36,6,FALSE),"")</f>
        <v>2</v>
      </c>
      <c r="H30" s="49">
        <f ca="1">IFERROR(VLOOKUP($A30,ClassGrupFases!$C$30:$Q$36,7,FALSE),"")</f>
        <v>2</v>
      </c>
      <c r="I30" s="49">
        <f ca="1">IFERROR(VLOOKUP($A30,ClassGrupFases!$C$30:$Q$36,8,FALSE),"")</f>
        <v>1</v>
      </c>
      <c r="J30" s="49">
        <f ca="1">IFERROR(VLOOKUP($A30,ClassGrupFases!$C$30:$Q$36,9,FALSE),"")</f>
        <v>5</v>
      </c>
      <c r="K30" s="49">
        <f ca="1">IFERROR(VLOOKUP($A30,ClassGrupFases!$C$30:$Q$36,10,FALSE),"")</f>
        <v>4</v>
      </c>
      <c r="L30" s="49">
        <f ca="1">IFERROR(VLOOKUP($A30,ClassGrupFases!$C$30:$Q$36,11,FALSE),"")</f>
        <v>1</v>
      </c>
      <c r="M30" s="41">
        <f ca="1">IFERROR(VLOOKUP($A30,ClassGrupFases!$C$30:$Q$36,1,FALSE),"")</f>
        <v>3</v>
      </c>
    </row>
    <row r="31" spans="1:13" x14ac:dyDescent="0.3">
      <c r="A31" s="37">
        <v>4</v>
      </c>
      <c r="B31" s="46">
        <f ca="1">IFERROR(VLOOKUP($A31,ClassGrupFases!$C$30:$Q$36,15,FALSE),"")</f>
        <v>4</v>
      </c>
      <c r="C31" s="47" t="str">
        <f ca="1">IFERROR(VLOOKUP($A31,ClassGrupFases!$C$30:$Q$36,2,FALSE),"")</f>
        <v>LUIZ COELHO(MZ)</v>
      </c>
      <c r="D31" s="48">
        <f ca="1">IFERROR(VLOOKUP($A31,ClassGrupFases!$C$30:$Q$36,3,FALSE),"")</f>
        <v>0.46666666666666667</v>
      </c>
      <c r="E31" s="49">
        <f ca="1">IFERROR(VLOOKUP($A31,ClassGrupFases!$C$30:$Q$36,4,FALSE),"")</f>
        <v>7</v>
      </c>
      <c r="F31" s="49">
        <f ca="1">IFERROR(VLOOKUP($A31,ClassGrupFases!$C$30:$Q$36,5,FALSE),"")</f>
        <v>5</v>
      </c>
      <c r="G31" s="49">
        <f ca="1">IFERROR(VLOOKUP($A31,ClassGrupFases!$C$30:$Q$36,6,FALSE),"")</f>
        <v>2</v>
      </c>
      <c r="H31" s="49">
        <f ca="1">IFERROR(VLOOKUP($A31,ClassGrupFases!$C$30:$Q$36,7,FALSE),"")</f>
        <v>1</v>
      </c>
      <c r="I31" s="49">
        <f ca="1">IFERROR(VLOOKUP($A31,ClassGrupFases!$C$30:$Q$36,8,FALSE),"")</f>
        <v>2</v>
      </c>
      <c r="J31" s="49">
        <f ca="1">IFERROR(VLOOKUP($A31,ClassGrupFases!$C$30:$Q$36,9,FALSE),"")</f>
        <v>7</v>
      </c>
      <c r="K31" s="49">
        <f ca="1">IFERROR(VLOOKUP($A31,ClassGrupFases!$C$30:$Q$36,10,FALSE),"")</f>
        <v>6</v>
      </c>
      <c r="L31" s="49">
        <f ca="1">IFERROR(VLOOKUP($A31,ClassGrupFases!$C$30:$Q$36,11,FALSE),"")</f>
        <v>1</v>
      </c>
      <c r="M31" s="41">
        <f ca="1">IFERROR(VLOOKUP($A31,ClassGrupFases!$C$30:$Q$36,1,FALSE),"")</f>
        <v>4</v>
      </c>
    </row>
    <row r="32" spans="1:13" x14ac:dyDescent="0.3">
      <c r="A32" s="37">
        <v>5</v>
      </c>
      <c r="B32" s="46">
        <f ca="1">IFERROR(VLOOKUP($A32,ClassGrupFases!$C$30:$Q$36,15,FALSE),"")</f>
        <v>5</v>
      </c>
      <c r="C32" s="47" t="str">
        <f ca="1">IFERROR(VLOOKUP($A32,ClassGrupFases!$C$30:$Q$36,2,FALSE),"")</f>
        <v>PEPE 2004(2004)</v>
      </c>
      <c r="D32" s="48">
        <f ca="1">IFERROR(VLOOKUP($A32,ClassGrupFases!$C$30:$Q$36,3,FALSE),"")</f>
        <v>0.4</v>
      </c>
      <c r="E32" s="49">
        <f ca="1">IFERROR(VLOOKUP($A32,ClassGrupFases!$C$30:$Q$36,4,FALSE),"")</f>
        <v>6</v>
      </c>
      <c r="F32" s="49">
        <f ca="1">IFERROR(VLOOKUP($A32,ClassGrupFases!$C$30:$Q$36,5,FALSE),"")</f>
        <v>5</v>
      </c>
      <c r="G32" s="49">
        <f ca="1">IFERROR(VLOOKUP($A32,ClassGrupFases!$C$30:$Q$36,6,FALSE),"")</f>
        <v>2</v>
      </c>
      <c r="H32" s="49">
        <f ca="1">IFERROR(VLOOKUP($A32,ClassGrupFases!$C$30:$Q$36,7,FALSE),"")</f>
        <v>0</v>
      </c>
      <c r="I32" s="49">
        <f ca="1">IFERROR(VLOOKUP($A32,ClassGrupFases!$C$30:$Q$36,8,FALSE),"")</f>
        <v>3</v>
      </c>
      <c r="J32" s="49">
        <f ca="1">IFERROR(VLOOKUP($A32,ClassGrupFases!$C$30:$Q$36,9,FALSE),"")</f>
        <v>4</v>
      </c>
      <c r="K32" s="49">
        <f ca="1">IFERROR(VLOOKUP($A32,ClassGrupFases!$C$30:$Q$36,10,FALSE),"")</f>
        <v>6</v>
      </c>
      <c r="L32" s="49">
        <f ca="1">IFERROR(VLOOKUP($A32,ClassGrupFases!$C$30:$Q$36,11,FALSE),"")</f>
        <v>-2</v>
      </c>
      <c r="M32" s="41">
        <f ca="1">IFERROR(VLOOKUP($A32,ClassGrupFases!$C$30:$Q$36,1,FALSE),"")</f>
        <v>5</v>
      </c>
    </row>
    <row r="33" spans="1:13" x14ac:dyDescent="0.3">
      <c r="A33" s="37">
        <v>6</v>
      </c>
      <c r="B33" s="50">
        <f ca="1">IFERROR(VLOOKUP($A33,ClassGrupFases!$C$30:$Q$36,15,FALSE),"")</f>
        <v>6</v>
      </c>
      <c r="C33" s="51" t="str">
        <f ca="1">IFERROR(VLOOKUP($A33,ClassGrupFases!$C$30:$Q$36,2,FALSE),"")</f>
        <v>REGINALDO(SCCP)</v>
      </c>
      <c r="D33" s="52">
        <f ca="1">IFERROR(VLOOKUP($A33,ClassGrupFases!$C$30:$Q$36,3,FALSE),"")</f>
        <v>0.13333333333333333</v>
      </c>
      <c r="E33" s="53">
        <f ca="1">IFERROR(VLOOKUP($A33,ClassGrupFases!$C$30:$Q$36,4,FALSE),"")</f>
        <v>2</v>
      </c>
      <c r="F33" s="53">
        <f ca="1">IFERROR(VLOOKUP($A33,ClassGrupFases!$C$30:$Q$36,5,FALSE),"")</f>
        <v>5</v>
      </c>
      <c r="G33" s="53">
        <f ca="1">IFERROR(VLOOKUP($A33,ClassGrupFases!$C$30:$Q$36,6,FALSE),"")</f>
        <v>0</v>
      </c>
      <c r="H33" s="53">
        <f ca="1">IFERROR(VLOOKUP($A33,ClassGrupFases!$C$30:$Q$36,7,FALSE),"")</f>
        <v>2</v>
      </c>
      <c r="I33" s="53">
        <f ca="1">IFERROR(VLOOKUP($A33,ClassGrupFases!$C$30:$Q$36,8,FALSE),"")</f>
        <v>3</v>
      </c>
      <c r="J33" s="53">
        <f ca="1">IFERROR(VLOOKUP($A33,ClassGrupFases!$C$30:$Q$36,9,FALSE),"")</f>
        <v>1</v>
      </c>
      <c r="K33" s="53">
        <f ca="1">IFERROR(VLOOKUP($A33,ClassGrupFases!$C$30:$Q$36,10,FALSE),"")</f>
        <v>7</v>
      </c>
      <c r="L33" s="53">
        <f ca="1">IFERROR(VLOOKUP($A33,ClassGrupFases!$C$30:$Q$36,11,FALSE),"")</f>
        <v>-6</v>
      </c>
      <c r="M33" s="41">
        <f ca="1">IFERROR(VLOOKUP($A33,ClassGrupFases!$C$30:$Q$36,1,FALSE),"")</f>
        <v>6</v>
      </c>
    </row>
    <row r="35" spans="1:13" x14ac:dyDescent="0.3">
      <c r="B35" s="43" t="s">
        <v>16</v>
      </c>
      <c r="C35" s="44" t="s">
        <v>32</v>
      </c>
      <c r="D35" s="45" t="s">
        <v>33</v>
      </c>
      <c r="E35" s="45" t="s">
        <v>34</v>
      </c>
      <c r="F35" s="45" t="s">
        <v>14</v>
      </c>
      <c r="G35" s="45" t="s">
        <v>15</v>
      </c>
      <c r="H35" s="45" t="s">
        <v>16</v>
      </c>
      <c r="I35" s="45" t="s">
        <v>17</v>
      </c>
      <c r="J35" s="45" t="s">
        <v>35</v>
      </c>
      <c r="K35" s="45" t="s">
        <v>36</v>
      </c>
      <c r="L35" s="45" t="s">
        <v>37</v>
      </c>
    </row>
    <row r="36" spans="1:13" x14ac:dyDescent="0.3">
      <c r="A36" s="37">
        <v>1</v>
      </c>
      <c r="B36" s="46">
        <f ca="1">IFERROR(VLOOKUP($A36,ClassGrupFases!$C$38:$Q$44,15,FALSE),"")</f>
        <v>1</v>
      </c>
      <c r="C36" s="47" t="str">
        <f ca="1">IFERROR(VLOOKUP($A36,ClassGrupFases!$C$38:$Q$44,2,FALSE),"")</f>
        <v>JEFFERSON TABAJARA(2004)</v>
      </c>
      <c r="D36" s="48">
        <f ca="1">IFERROR(VLOOKUP($A36,ClassGrupFases!$C$38:$Q$44,3,FALSE),"")</f>
        <v>1</v>
      </c>
      <c r="E36" s="49">
        <f ca="1">IFERROR(VLOOKUP($A36,ClassGrupFases!$C$38:$Q$44,4,FALSE),"")</f>
        <v>15</v>
      </c>
      <c r="F36" s="49">
        <f ca="1">IFERROR(VLOOKUP($A36,ClassGrupFases!$C$38:$Q$44,5,FALSE),"")</f>
        <v>5</v>
      </c>
      <c r="G36" s="49">
        <f ca="1">IFERROR(VLOOKUP($A36,ClassGrupFases!$C$38:$Q$44,6,FALSE),"")</f>
        <v>5</v>
      </c>
      <c r="H36" s="49">
        <f ca="1">IFERROR(VLOOKUP($A36,ClassGrupFases!$C$38:$Q$44,7,FALSE),"")</f>
        <v>0</v>
      </c>
      <c r="I36" s="49">
        <f ca="1">IFERROR(VLOOKUP($A36,ClassGrupFases!$C$38:$Q$44,8,FALSE),"")</f>
        <v>0</v>
      </c>
      <c r="J36" s="49">
        <f ca="1">IFERROR(VLOOKUP($A36,ClassGrupFases!$C$38:$Q$44,9,FALSE),"")</f>
        <v>20</v>
      </c>
      <c r="K36" s="49">
        <f ca="1">IFERROR(VLOOKUP($A36,ClassGrupFases!$C$38:$Q$44,10,FALSE),"")</f>
        <v>7</v>
      </c>
      <c r="L36" s="49">
        <f ca="1">IFERROR(VLOOKUP($A36,ClassGrupFases!$C$38:$Q$44,11,FALSE),"")</f>
        <v>13</v>
      </c>
      <c r="M36" s="41">
        <f ca="1">IFERROR(VLOOKUP($A36,ClassGrupFases!$C$38:$Q$44,1,FALSE),"")</f>
        <v>1</v>
      </c>
    </row>
    <row r="37" spans="1:13" x14ac:dyDescent="0.3">
      <c r="A37" s="37">
        <v>2</v>
      </c>
      <c r="B37" s="46">
        <f ca="1">IFERROR(VLOOKUP($A37,ClassGrupFases!$C$38:$Q$44,15,FALSE),"")</f>
        <v>2</v>
      </c>
      <c r="C37" s="47" t="str">
        <f ca="1">IFERROR(VLOOKUP($A37,ClassGrupFases!$C$38:$Q$44,2,FALSE),"")</f>
        <v>CORTEZ (MZ)</v>
      </c>
      <c r="D37" s="48">
        <f ca="1">IFERROR(VLOOKUP($A37,ClassGrupFases!$C$38:$Q$44,3,FALSE),"")</f>
        <v>0.53333333333333333</v>
      </c>
      <c r="E37" s="49">
        <f ca="1">IFERROR(VLOOKUP($A37,ClassGrupFases!$C$38:$Q$44,4,FALSE),"")</f>
        <v>8</v>
      </c>
      <c r="F37" s="49">
        <f ca="1">IFERROR(VLOOKUP($A37,ClassGrupFases!$C$38:$Q$44,5,FALSE),"")</f>
        <v>5</v>
      </c>
      <c r="G37" s="49">
        <f ca="1">IFERROR(VLOOKUP($A37,ClassGrupFases!$C$38:$Q$44,6,FALSE),"")</f>
        <v>2</v>
      </c>
      <c r="H37" s="49">
        <f ca="1">IFERROR(VLOOKUP($A37,ClassGrupFases!$C$38:$Q$44,7,FALSE),"")</f>
        <v>2</v>
      </c>
      <c r="I37" s="49">
        <f ca="1">IFERROR(VLOOKUP($A37,ClassGrupFases!$C$38:$Q$44,8,FALSE),"")</f>
        <v>1</v>
      </c>
      <c r="J37" s="49">
        <f ca="1">IFERROR(VLOOKUP($A37,ClassGrupFases!$C$38:$Q$44,9,FALSE),"")</f>
        <v>4</v>
      </c>
      <c r="K37" s="49">
        <f ca="1">IFERROR(VLOOKUP($A37,ClassGrupFases!$C$38:$Q$44,10,FALSE),"")</f>
        <v>2</v>
      </c>
      <c r="L37" s="49">
        <f ca="1">IFERROR(VLOOKUP($A37,ClassGrupFases!$C$38:$Q$44,11,FALSE),"")</f>
        <v>2</v>
      </c>
      <c r="M37" s="41">
        <f ca="1">IFERROR(VLOOKUP($A37,ClassGrupFases!$C$38:$Q$44,1,FALSE),"")</f>
        <v>2</v>
      </c>
    </row>
    <row r="38" spans="1:13" x14ac:dyDescent="0.3">
      <c r="A38" s="37">
        <v>3</v>
      </c>
      <c r="B38" s="46">
        <f ca="1">IFERROR(VLOOKUP($A38,ClassGrupFases!$C$38:$Q$44,15,FALSE),"")</f>
        <v>3</v>
      </c>
      <c r="C38" s="47" t="str">
        <f ca="1">IFERROR(VLOOKUP($A38,ClassGrupFases!$C$38:$Q$44,2,FALSE),"")</f>
        <v>NORBERTO(7/9)</v>
      </c>
      <c r="D38" s="48">
        <f ca="1">IFERROR(VLOOKUP($A38,ClassGrupFases!$C$38:$Q$44,3,FALSE),"")</f>
        <v>0.53333333333333333</v>
      </c>
      <c r="E38" s="49">
        <f ca="1">IFERROR(VLOOKUP($A38,ClassGrupFases!$C$38:$Q$44,4,FALSE),"")</f>
        <v>8</v>
      </c>
      <c r="F38" s="49">
        <f ca="1">IFERROR(VLOOKUP($A38,ClassGrupFases!$C$38:$Q$44,5,FALSE),"")</f>
        <v>5</v>
      </c>
      <c r="G38" s="49">
        <f ca="1">IFERROR(VLOOKUP($A38,ClassGrupFases!$C$38:$Q$44,6,FALSE),"")</f>
        <v>2</v>
      </c>
      <c r="H38" s="49">
        <f ca="1">IFERROR(VLOOKUP($A38,ClassGrupFases!$C$38:$Q$44,7,FALSE),"")</f>
        <v>2</v>
      </c>
      <c r="I38" s="49">
        <f ca="1">IFERROR(VLOOKUP($A38,ClassGrupFases!$C$38:$Q$44,8,FALSE),"")</f>
        <v>1</v>
      </c>
      <c r="J38" s="49">
        <f ca="1">IFERROR(VLOOKUP($A38,ClassGrupFases!$C$38:$Q$44,9,FALSE),"")</f>
        <v>9</v>
      </c>
      <c r="K38" s="49">
        <f ca="1">IFERROR(VLOOKUP($A38,ClassGrupFases!$C$38:$Q$44,10,FALSE),"")</f>
        <v>10</v>
      </c>
      <c r="L38" s="49">
        <f ca="1">IFERROR(VLOOKUP($A38,ClassGrupFases!$C$38:$Q$44,11,FALSE),"")</f>
        <v>-1</v>
      </c>
      <c r="M38" s="41">
        <f ca="1">IFERROR(VLOOKUP($A38,ClassGrupFases!$C$38:$Q$44,1,FALSE),"")</f>
        <v>3</v>
      </c>
    </row>
    <row r="39" spans="1:13" x14ac:dyDescent="0.3">
      <c r="A39" s="37">
        <v>4</v>
      </c>
      <c r="B39" s="46">
        <f ca="1">IFERROR(VLOOKUP($A39,ClassGrupFases!$C$38:$Q$44,15,FALSE),"")</f>
        <v>4</v>
      </c>
      <c r="C39" s="47" t="str">
        <f ca="1">IFERROR(VLOOKUP($A39,ClassGrupFases!$C$38:$Q$44,2,FALSE),"")</f>
        <v>RAFAEL BALIEIRO(LSJC)</v>
      </c>
      <c r="D39" s="48">
        <f ca="1">IFERROR(VLOOKUP($A39,ClassGrupFases!$C$38:$Q$44,3,FALSE),"")</f>
        <v>0.4</v>
      </c>
      <c r="E39" s="49">
        <f ca="1">IFERROR(VLOOKUP($A39,ClassGrupFases!$C$38:$Q$44,4,FALSE),"")</f>
        <v>6</v>
      </c>
      <c r="F39" s="49">
        <f ca="1">IFERROR(VLOOKUP($A39,ClassGrupFases!$C$38:$Q$44,5,FALSE),"")</f>
        <v>5</v>
      </c>
      <c r="G39" s="49">
        <f ca="1">IFERROR(VLOOKUP($A39,ClassGrupFases!$C$38:$Q$44,6,FALSE),"")</f>
        <v>1</v>
      </c>
      <c r="H39" s="49">
        <f ca="1">IFERROR(VLOOKUP($A39,ClassGrupFases!$C$38:$Q$44,7,FALSE),"")</f>
        <v>3</v>
      </c>
      <c r="I39" s="49">
        <f ca="1">IFERROR(VLOOKUP($A39,ClassGrupFases!$C$38:$Q$44,8,FALSE),"")</f>
        <v>1</v>
      </c>
      <c r="J39" s="49">
        <f ca="1">IFERROR(VLOOKUP($A39,ClassGrupFases!$C$38:$Q$44,9,FALSE),"")</f>
        <v>5</v>
      </c>
      <c r="K39" s="49">
        <f ca="1">IFERROR(VLOOKUP($A39,ClassGrupFases!$C$38:$Q$44,10,FALSE),"")</f>
        <v>5</v>
      </c>
      <c r="L39" s="49">
        <f ca="1">IFERROR(VLOOKUP($A39,ClassGrupFases!$C$38:$Q$44,11,FALSE),"")</f>
        <v>0</v>
      </c>
      <c r="M39" s="41">
        <f ca="1">IFERROR(VLOOKUP($A39,ClassGrupFases!$C$38:$Q$44,1,FALSE),"")</f>
        <v>4</v>
      </c>
    </row>
    <row r="40" spans="1:13" x14ac:dyDescent="0.3">
      <c r="A40" s="37">
        <v>5</v>
      </c>
      <c r="B40" s="46">
        <f ca="1">IFERROR(VLOOKUP($A40,ClassGrupFases!$C$38:$Q$44,15,FALSE),"")</f>
        <v>5</v>
      </c>
      <c r="C40" s="47" t="str">
        <f ca="1">IFERROR(VLOOKUP($A40,ClassGrupFases!$C$38:$Q$44,2,FALSE),"")</f>
        <v>ANDRÉ COELHO(SCCP)</v>
      </c>
      <c r="D40" s="48">
        <f ca="1">IFERROR(VLOOKUP($A40,ClassGrupFases!$C$38:$Q$44,3,FALSE),"")</f>
        <v>0.13333333333333333</v>
      </c>
      <c r="E40" s="49">
        <f ca="1">IFERROR(VLOOKUP($A40,ClassGrupFases!$C$38:$Q$44,4,FALSE),"")</f>
        <v>2</v>
      </c>
      <c r="F40" s="49">
        <f ca="1">IFERROR(VLOOKUP($A40,ClassGrupFases!$C$38:$Q$44,5,FALSE),"")</f>
        <v>5</v>
      </c>
      <c r="G40" s="49">
        <f ca="1">IFERROR(VLOOKUP($A40,ClassGrupFases!$C$38:$Q$44,6,FALSE),"")</f>
        <v>0</v>
      </c>
      <c r="H40" s="49">
        <f ca="1">IFERROR(VLOOKUP($A40,ClassGrupFases!$C$38:$Q$44,7,FALSE),"")</f>
        <v>2</v>
      </c>
      <c r="I40" s="49">
        <f ca="1">IFERROR(VLOOKUP($A40,ClassGrupFases!$C$38:$Q$44,8,FALSE),"")</f>
        <v>3</v>
      </c>
      <c r="J40" s="49">
        <f ca="1">IFERROR(VLOOKUP($A40,ClassGrupFases!$C$38:$Q$44,9,FALSE),"")</f>
        <v>4</v>
      </c>
      <c r="K40" s="49">
        <f ca="1">IFERROR(VLOOKUP($A40,ClassGrupFases!$C$38:$Q$44,10,FALSE),"")</f>
        <v>10</v>
      </c>
      <c r="L40" s="49">
        <f ca="1">IFERROR(VLOOKUP($A40,ClassGrupFases!$C$38:$Q$44,11,FALSE),"")</f>
        <v>-6</v>
      </c>
      <c r="M40" s="41">
        <f ca="1">IFERROR(VLOOKUP($A40,ClassGrupFases!$C$38:$Q$44,1,FALSE),"")</f>
        <v>5</v>
      </c>
    </row>
    <row r="41" spans="1:13" x14ac:dyDescent="0.3">
      <c r="A41" s="37">
        <v>6</v>
      </c>
      <c r="B41" s="50">
        <f ca="1">IFERROR(VLOOKUP($A41,ClassGrupFases!$C$38:$Q$44,15,FALSE),"")</f>
        <v>6</v>
      </c>
      <c r="C41" s="51" t="str">
        <f ca="1">IFERROR(VLOOKUP($A41,ClassGrupFases!$C$38:$Q$44,2,FALSE),"")</f>
        <v>DJ IURY(LSJC)</v>
      </c>
      <c r="D41" s="52">
        <f ca="1">IFERROR(VLOOKUP($A41,ClassGrupFases!$C$38:$Q$44,3,FALSE),"")</f>
        <v>6.6666666666666666E-2</v>
      </c>
      <c r="E41" s="53">
        <f ca="1">IFERROR(VLOOKUP($A41,ClassGrupFases!$C$38:$Q$44,4,FALSE),"")</f>
        <v>1</v>
      </c>
      <c r="F41" s="53">
        <f ca="1">IFERROR(VLOOKUP($A41,ClassGrupFases!$C$38:$Q$44,5,FALSE),"")</f>
        <v>5</v>
      </c>
      <c r="G41" s="53">
        <f ca="1">IFERROR(VLOOKUP($A41,ClassGrupFases!$C$38:$Q$44,6,FALSE),"")</f>
        <v>0</v>
      </c>
      <c r="H41" s="53">
        <f ca="1">IFERROR(VLOOKUP($A41,ClassGrupFases!$C$38:$Q$44,7,FALSE),"")</f>
        <v>1</v>
      </c>
      <c r="I41" s="53">
        <f ca="1">IFERROR(VLOOKUP($A41,ClassGrupFases!$C$38:$Q$44,8,FALSE),"")</f>
        <v>4</v>
      </c>
      <c r="J41" s="53">
        <f ca="1">IFERROR(VLOOKUP($A41,ClassGrupFases!$C$38:$Q$44,9,FALSE),"")</f>
        <v>4</v>
      </c>
      <c r="K41" s="53">
        <f ca="1">IFERROR(VLOOKUP($A41,ClassGrupFases!$C$38:$Q$44,10,FALSE),"")</f>
        <v>12</v>
      </c>
      <c r="L41" s="53">
        <f ca="1">IFERROR(VLOOKUP($A41,ClassGrupFases!$C$38:$Q$44,11,FALSE),"")</f>
        <v>-8</v>
      </c>
      <c r="M41" s="41">
        <f ca="1">IFERROR(VLOOKUP($A41,ClassGrupFases!$C$38:$Q$44,1,FALSE),"")</f>
        <v>6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topLeftCell="B1" workbookViewId="0">
      <pane ySplit="1" topLeftCell="A2" activePane="bottomLeft" state="frozen"/>
      <selection activeCell="B1" sqref="B1"/>
      <selection pane="bottomLeft" activeCell="C5" sqref="C5"/>
    </sheetView>
  </sheetViews>
  <sheetFormatPr defaultColWidth="10.875" defaultRowHeight="17.25" x14ac:dyDescent="0.3"/>
  <cols>
    <col min="1" max="1" width="2.875" style="57" hidden="1" customWidth="1"/>
    <col min="2" max="2" width="40.875" style="36" customWidth="1"/>
    <col min="3" max="5" width="4.875" style="34" customWidth="1"/>
    <col min="6" max="6" width="40.875" style="35" customWidth="1"/>
    <col min="7" max="7" width="2.875" style="57" hidden="1" customWidth="1"/>
    <col min="8" max="8" width="6.875" style="34" customWidth="1"/>
    <col min="9" max="11" width="4.875" style="34" hidden="1" customWidth="1"/>
    <col min="12" max="12" width="10.875" style="36"/>
    <col min="13" max="13" width="4.875" style="58" hidden="1" customWidth="1"/>
    <col min="14" max="14" width="0" style="59" hidden="1" customWidth="1"/>
    <col min="15" max="15" width="4.875" style="58" hidden="1" customWidth="1"/>
    <col min="16" max="16" width="1.875" style="24" hidden="1" customWidth="1"/>
    <col min="17" max="17" width="4.875" style="57" hidden="1" customWidth="1"/>
    <col min="18" max="18" width="0" style="60" hidden="1" customWidth="1"/>
    <col min="19" max="19" width="4.875" style="57" hidden="1" customWidth="1"/>
    <col min="20" max="20" width="0" style="24" hidden="1" customWidth="1"/>
    <col min="21" max="31" width="5.875" style="61" hidden="1" customWidth="1"/>
    <col min="32" max="16384" width="10.875" style="23"/>
  </cols>
  <sheetData>
    <row r="1" spans="1:31" ht="20.25" x14ac:dyDescent="0.3">
      <c r="B1" s="2" t="s">
        <v>73</v>
      </c>
      <c r="R1" s="60" t="s">
        <v>74</v>
      </c>
    </row>
    <row r="2" spans="1:31" x14ac:dyDescent="0.3">
      <c r="B2" s="3" t="s">
        <v>1</v>
      </c>
      <c r="R2" s="60" t="b">
        <f>Jogos!M2*2 = ClassGrupFases!$S$2</f>
        <v>1</v>
      </c>
    </row>
    <row r="3" spans="1:31" ht="25.5" x14ac:dyDescent="0.5">
      <c r="B3" s="63" t="s">
        <v>75</v>
      </c>
      <c r="C3" s="63"/>
      <c r="D3" s="63"/>
      <c r="E3" s="63"/>
      <c r="F3" s="63"/>
      <c r="G3" s="63"/>
      <c r="H3" s="63"/>
      <c r="U3" s="61" t="s">
        <v>14</v>
      </c>
      <c r="V3" s="61" t="s">
        <v>14</v>
      </c>
      <c r="W3" s="61" t="s">
        <v>15</v>
      </c>
      <c r="X3" s="61" t="s">
        <v>16</v>
      </c>
      <c r="Y3" s="61" t="s">
        <v>16</v>
      </c>
      <c r="Z3" s="61" t="s">
        <v>17</v>
      </c>
      <c r="AA3" s="61" t="s">
        <v>18</v>
      </c>
      <c r="AB3" s="61" t="s">
        <v>19</v>
      </c>
      <c r="AC3" s="61" t="s">
        <v>15</v>
      </c>
      <c r="AD3" s="61" t="s">
        <v>20</v>
      </c>
      <c r="AE3" s="61" t="s">
        <v>21</v>
      </c>
    </row>
    <row r="4" spans="1:31" x14ac:dyDescent="0.3">
      <c r="B4" s="66" t="s">
        <v>76</v>
      </c>
      <c r="C4" s="66"/>
      <c r="D4" s="66"/>
      <c r="E4" s="66"/>
      <c r="F4" s="66"/>
      <c r="G4" s="66"/>
      <c r="H4" s="65" t="s">
        <v>77</v>
      </c>
      <c r="L4" s="64">
        <f>Jogos!K3 + TIME(0,100,0)</f>
        <v>44969.548611111109</v>
      </c>
      <c r="M4" s="68" t="s">
        <v>78</v>
      </c>
      <c r="N4" s="67"/>
      <c r="O4" s="67"/>
      <c r="Q4" s="70" t="s">
        <v>79</v>
      </c>
      <c r="R4" s="69"/>
      <c r="S4" s="69"/>
    </row>
    <row r="5" spans="1:31" x14ac:dyDescent="0.3">
      <c r="A5" s="57">
        <v>1</v>
      </c>
      <c r="B5" s="74" t="str">
        <f ca="1">IFERROR(IF($R$2,VLOOKUP($A5,ClassGrupFases!$C$54:$D$69,2,FALSE),""),"")</f>
        <v>JEFFERSON TABAJARA(2004)</v>
      </c>
      <c r="C5" s="75"/>
      <c r="D5" s="71" t="s">
        <v>22</v>
      </c>
      <c r="E5" s="75"/>
      <c r="F5" s="72" t="str">
        <f ca="1">IFERROR(IF($R$2,VLOOKUP($G5,ClassGrupFases!$C$54:$D$69,2,FALSE),""),"")</f>
        <v>NORBERTO(7/9)</v>
      </c>
      <c r="G5" s="73">
        <v>16</v>
      </c>
      <c r="H5" s="71">
        <v>1</v>
      </c>
      <c r="I5" s="71"/>
      <c r="J5" s="71"/>
      <c r="K5" s="71"/>
      <c r="M5" s="58" t="str">
        <f>IFERROR(_xlfn.RANK.EQ(O5, O5:O12, 0), "")</f>
        <v/>
      </c>
      <c r="N5" s="59" t="str">
        <f t="shared" ref="N5:N12" si="0">IF(OR(C5="", E5=""), "", IF(OR(C5&gt;E5, C5=E5), B5, F5))</f>
        <v/>
      </c>
      <c r="O5" s="58" t="str">
        <f>IF(OR(C5="", E5=""), "", VLOOKUP(N5, ClassGrupFases!$D$6:$P$43, 11, 0))</f>
        <v/>
      </c>
      <c r="Q5" s="57" t="str">
        <f>IFERROR(_xlfn.RANK.EQ(S5, S5:S12, 0) + 8, "")</f>
        <v/>
      </c>
      <c r="R5" s="60" t="str">
        <f t="shared" ref="R5:R12" si="1">IF(OR(C5="", E5=""), "", IF(OR(C5&gt;E5, C5=E5), F5, B5))</f>
        <v/>
      </c>
      <c r="S5" s="57" t="str">
        <f>IF(OR(C5="", E5=""), "", VLOOKUP(R5, ClassGrupFases!$D$6:$P$43, 11, 0))</f>
        <v/>
      </c>
      <c r="U5" s="61" t="str">
        <f t="shared" ref="U5:U12" si="2">IF(OR(C5 = "",E5 = ""), "", F5)</f>
        <v/>
      </c>
      <c r="W5" s="61" t="str">
        <f t="shared" ref="W5:W12" si="3">IF(OR(C5 = "",E5 = ""), "", IF(C5&gt;E5,B5, IF(E5&gt;C5,F5, "")))</f>
        <v/>
      </c>
      <c r="X5" s="61" t="str">
        <f t="shared" ref="X5:X12" si="4">IF(OR(C5 = "",E5 = ""), "", IF(C5=E5,B5, ""))</f>
        <v/>
      </c>
      <c r="Y5" s="61" t="str">
        <f t="shared" ref="Y5:Y12" si="5">IF(OR(C5 = "",E5 = ""), "", IF(C5=E5,F5, ""))</f>
        <v/>
      </c>
      <c r="Z5" s="61" t="str">
        <f t="shared" ref="Z5:Z12" si="6">IF(OR(C5 = "",E5 = ""), "", IF(C5&gt;E5,F5, IF(E5&gt;C5,B5, "")))</f>
        <v/>
      </c>
      <c r="AA5" s="61" t="str">
        <f t="shared" ref="AA5:AA12" si="7">IF(OR(C5 = "",E5 = ""), "", B5)</f>
        <v/>
      </c>
      <c r="AB5" s="61" t="str">
        <f t="shared" ref="AB5:AB12" si="8">IF(C5 = "", "", C5)</f>
        <v/>
      </c>
      <c r="AC5" s="61" t="str">
        <f t="shared" ref="AC5:AC12" si="9">IF(OR(C5 = "",E5 = ""), "", F5)</f>
        <v/>
      </c>
      <c r="AD5" s="61" t="str">
        <f t="shared" ref="AD5:AD12" si="10">IF(E5 = "", "", E5)</f>
        <v/>
      </c>
      <c r="AE5" s="61" t="str">
        <f t="shared" ref="AE5:AE12" si="11">IF(C5 = "", "", C5)</f>
        <v/>
      </c>
    </row>
    <row r="6" spans="1:31" x14ac:dyDescent="0.3">
      <c r="A6" s="57">
        <v>2</v>
      </c>
      <c r="B6" s="62" t="str">
        <f ca="1">IFERROR(IF($R$2,VLOOKUP($A6,ClassGrupFases!$C$54:$D$69,2,FALSE),""),"")</f>
        <v>DIOGO(2004)</v>
      </c>
      <c r="C6" s="75"/>
      <c r="D6" s="34" t="s">
        <v>22</v>
      </c>
      <c r="E6" s="75"/>
      <c r="F6" s="35" t="str">
        <f ca="1">IFERROR(IF($R$2,VLOOKUP($G6,ClassGrupFases!$C$54:$D$69,2,FALSE),""),"")</f>
        <v>MICA(MZ)</v>
      </c>
      <c r="G6" s="57">
        <v>15</v>
      </c>
      <c r="H6" s="34">
        <v>2</v>
      </c>
      <c r="M6" s="58" t="str">
        <f>IFERROR(_xlfn.RANK.EQ(O6, O5:O12, 0), "")</f>
        <v/>
      </c>
      <c r="N6" s="59" t="str">
        <f t="shared" si="0"/>
        <v/>
      </c>
      <c r="O6" s="58" t="str">
        <f>IF(OR(C6="", E6=""), "", VLOOKUP(N6, ClassGrupFases!$D$6:$P$43, 11, 0))</f>
        <v/>
      </c>
      <c r="Q6" s="57" t="str">
        <f>IFERROR(_xlfn.RANK.EQ(S6, S5:S12, 0) + 8, "")</f>
        <v/>
      </c>
      <c r="R6" s="60" t="str">
        <f t="shared" si="1"/>
        <v/>
      </c>
      <c r="S6" s="57" t="str">
        <f>IF(OR(C6="", E6=""), "", VLOOKUP(R6, ClassGrupFases!$D$6:$P$43, 11, 0))</f>
        <v/>
      </c>
      <c r="U6" s="61" t="str">
        <f t="shared" si="2"/>
        <v/>
      </c>
      <c r="W6" s="61" t="str">
        <f t="shared" si="3"/>
        <v/>
      </c>
      <c r="X6" s="61" t="str">
        <f t="shared" si="4"/>
        <v/>
      </c>
      <c r="Y6" s="61" t="str">
        <f t="shared" si="5"/>
        <v/>
      </c>
      <c r="Z6" s="61" t="str">
        <f t="shared" si="6"/>
        <v/>
      </c>
      <c r="AA6" s="61" t="str">
        <f t="shared" si="7"/>
        <v/>
      </c>
      <c r="AB6" s="61" t="str">
        <f t="shared" si="8"/>
        <v/>
      </c>
      <c r="AC6" s="61" t="str">
        <f t="shared" si="9"/>
        <v/>
      </c>
      <c r="AD6" s="61" t="str">
        <f t="shared" si="10"/>
        <v/>
      </c>
      <c r="AE6" s="61" t="str">
        <f t="shared" si="11"/>
        <v/>
      </c>
    </row>
    <row r="7" spans="1:31" x14ac:dyDescent="0.3">
      <c r="A7" s="57">
        <v>3</v>
      </c>
      <c r="B7" s="74" t="str">
        <f ca="1">IFERROR(IF($R$2,VLOOKUP($A7,ClassGrupFases!$C$54:$D$69,2,FALSE),""),"")</f>
        <v>MARCÃO SILVA(SPFC)</v>
      </c>
      <c r="C7" s="75"/>
      <c r="D7" s="71" t="s">
        <v>22</v>
      </c>
      <c r="E7" s="75"/>
      <c r="F7" s="72" t="str">
        <f ca="1">IFERROR(IF($R$2,VLOOKUP($G7,ClassGrupFases!$C$54:$D$69,2,FALSE),""),"")</f>
        <v>ZÉ LUIZ(SPFC)</v>
      </c>
      <c r="G7" s="73">
        <v>14</v>
      </c>
      <c r="H7" s="71">
        <v>3</v>
      </c>
      <c r="I7" s="71"/>
      <c r="J7" s="71"/>
      <c r="K7" s="71"/>
      <c r="M7" s="58" t="str">
        <f>IFERROR(_xlfn.RANK.EQ(O7, O5:O12, 0), "")</f>
        <v/>
      </c>
      <c r="N7" s="59" t="str">
        <f t="shared" si="0"/>
        <v/>
      </c>
      <c r="O7" s="58" t="str">
        <f>IF(OR(C7="", E7=""), "", VLOOKUP(N7, ClassGrupFases!$D$6:$P$43, 11, 0))</f>
        <v/>
      </c>
      <c r="Q7" s="57" t="str">
        <f>IFERROR(_xlfn.RANK.EQ(S7, S5:S12, 0) + 8, "")</f>
        <v/>
      </c>
      <c r="R7" s="60" t="str">
        <f t="shared" si="1"/>
        <v/>
      </c>
      <c r="S7" s="57" t="str">
        <f>IF(OR(C7="", E7=""), "", VLOOKUP(R7, ClassGrupFases!$D$6:$P$43, 11, 0))</f>
        <v/>
      </c>
      <c r="U7" s="61" t="str">
        <f t="shared" si="2"/>
        <v/>
      </c>
      <c r="W7" s="61" t="str">
        <f t="shared" si="3"/>
        <v/>
      </c>
      <c r="X7" s="61" t="str">
        <f t="shared" si="4"/>
        <v/>
      </c>
      <c r="Y7" s="61" t="str">
        <f t="shared" si="5"/>
        <v/>
      </c>
      <c r="Z7" s="61" t="str">
        <f t="shared" si="6"/>
        <v/>
      </c>
      <c r="AA7" s="61" t="str">
        <f t="shared" si="7"/>
        <v/>
      </c>
      <c r="AB7" s="61" t="str">
        <f t="shared" si="8"/>
        <v/>
      </c>
      <c r="AC7" s="61" t="str">
        <f t="shared" si="9"/>
        <v/>
      </c>
      <c r="AD7" s="61" t="str">
        <f t="shared" si="10"/>
        <v/>
      </c>
      <c r="AE7" s="61" t="str">
        <f t="shared" si="11"/>
        <v/>
      </c>
    </row>
    <row r="8" spans="1:31" x14ac:dyDescent="0.3">
      <c r="A8" s="57">
        <v>4</v>
      </c>
      <c r="B8" s="62" t="str">
        <f ca="1">IFERROR(IF($R$2,VLOOKUP($A8,ClassGrupFases!$C$54:$D$69,2,FALSE),""),"")</f>
        <v>MARCOS WILLOW(SCCP)</v>
      </c>
      <c r="C8" s="75"/>
      <c r="D8" s="34" t="s">
        <v>22</v>
      </c>
      <c r="E8" s="75"/>
      <c r="F8" s="35" t="str">
        <f ca="1">IFERROR(IF($R$2,VLOOKUP($G8,ClassGrupFases!$C$54:$D$69,2,FALSE),""),"")</f>
        <v>PABLO MARTINS(SCCP)</v>
      </c>
      <c r="G8" s="57">
        <v>13</v>
      </c>
      <c r="H8" s="34">
        <v>4</v>
      </c>
      <c r="M8" s="58" t="str">
        <f>IFERROR(_xlfn.RANK.EQ(O8, O5:O12, 0), "")</f>
        <v/>
      </c>
      <c r="N8" s="59" t="str">
        <f t="shared" si="0"/>
        <v/>
      </c>
      <c r="O8" s="58" t="str">
        <f>IF(OR(C8="", E8=""), "", VLOOKUP(N8, ClassGrupFases!$D$6:$P$43, 11, 0))</f>
        <v/>
      </c>
      <c r="Q8" s="57" t="str">
        <f>IFERROR(_xlfn.RANK.EQ(S8, S5:S12, 0) + 8, "")</f>
        <v/>
      </c>
      <c r="R8" s="60" t="str">
        <f t="shared" si="1"/>
        <v/>
      </c>
      <c r="S8" s="57" t="str">
        <f>IF(OR(C8="", E8=""), "", VLOOKUP(R8, ClassGrupFases!$D$6:$P$43, 11, 0))</f>
        <v/>
      </c>
      <c r="U8" s="61" t="str">
        <f t="shared" si="2"/>
        <v/>
      </c>
      <c r="W8" s="61" t="str">
        <f t="shared" si="3"/>
        <v/>
      </c>
      <c r="X8" s="61" t="str">
        <f t="shared" si="4"/>
        <v/>
      </c>
      <c r="Y8" s="61" t="str">
        <f t="shared" si="5"/>
        <v/>
      </c>
      <c r="Z8" s="61" t="str">
        <f t="shared" si="6"/>
        <v/>
      </c>
      <c r="AA8" s="61" t="str">
        <f t="shared" si="7"/>
        <v/>
      </c>
      <c r="AB8" s="61" t="str">
        <f t="shared" si="8"/>
        <v/>
      </c>
      <c r="AC8" s="61" t="str">
        <f t="shared" si="9"/>
        <v/>
      </c>
      <c r="AD8" s="61" t="str">
        <f t="shared" si="10"/>
        <v/>
      </c>
      <c r="AE8" s="61" t="str">
        <f t="shared" si="11"/>
        <v/>
      </c>
    </row>
    <row r="9" spans="1:31" x14ac:dyDescent="0.3">
      <c r="A9" s="57">
        <v>5</v>
      </c>
      <c r="B9" s="74" t="str">
        <f ca="1">IFERROR(IF($R$2,VLOOKUP($A9,ClassGrupFases!$C$54:$D$69,2,FALSE),""),"")</f>
        <v>RUAS(2004)</v>
      </c>
      <c r="C9" s="75"/>
      <c r="D9" s="71" t="s">
        <v>22</v>
      </c>
      <c r="E9" s="75"/>
      <c r="F9" s="72" t="str">
        <f ca="1">IFERROR(IF($R$2,VLOOKUP($G9,ClassGrupFases!$C$54:$D$69,2,FALSE),""),"")</f>
        <v>CORTEZ (MZ)</v>
      </c>
      <c r="G9" s="73">
        <v>12</v>
      </c>
      <c r="H9" s="71">
        <v>5</v>
      </c>
      <c r="I9" s="71"/>
      <c r="J9" s="71"/>
      <c r="K9" s="71"/>
      <c r="M9" s="58" t="str">
        <f>IFERROR(_xlfn.RANK.EQ(O9, O5:O12, 0), "")</f>
        <v/>
      </c>
      <c r="N9" s="59" t="str">
        <f t="shared" si="0"/>
        <v/>
      </c>
      <c r="O9" s="58" t="str">
        <f>IF(OR(C9="", E9=""), "", VLOOKUP(N9, ClassGrupFases!$D$6:$P$43, 11, 0))</f>
        <v/>
      </c>
      <c r="Q9" s="57" t="str">
        <f>IFERROR(_xlfn.RANK.EQ(S9, S5:S12, 0) + 8, "")</f>
        <v/>
      </c>
      <c r="R9" s="60" t="str">
        <f t="shared" si="1"/>
        <v/>
      </c>
      <c r="S9" s="57" t="str">
        <f>IF(OR(C9="", E9=""), "", VLOOKUP(R9, ClassGrupFases!$D$6:$P$43, 11, 0))</f>
        <v/>
      </c>
      <c r="U9" s="61" t="str">
        <f t="shared" si="2"/>
        <v/>
      </c>
      <c r="W9" s="61" t="str">
        <f t="shared" si="3"/>
        <v/>
      </c>
      <c r="X9" s="61" t="str">
        <f t="shared" si="4"/>
        <v/>
      </c>
      <c r="Y9" s="61" t="str">
        <f t="shared" si="5"/>
        <v/>
      </c>
      <c r="Z9" s="61" t="str">
        <f t="shared" si="6"/>
        <v/>
      </c>
      <c r="AA9" s="61" t="str">
        <f t="shared" si="7"/>
        <v/>
      </c>
      <c r="AB9" s="61" t="str">
        <f t="shared" si="8"/>
        <v/>
      </c>
      <c r="AC9" s="61" t="str">
        <f t="shared" si="9"/>
        <v/>
      </c>
      <c r="AD9" s="61" t="str">
        <f t="shared" si="10"/>
        <v/>
      </c>
      <c r="AE9" s="61" t="str">
        <f t="shared" si="11"/>
        <v/>
      </c>
    </row>
    <row r="10" spans="1:31" x14ac:dyDescent="0.3">
      <c r="A10" s="57">
        <v>6</v>
      </c>
      <c r="B10" s="62" t="str">
        <f ca="1">IFERROR(IF($R$2,VLOOKUP($A10,ClassGrupFases!$C$54:$D$69,2,FALSE),""),"")</f>
        <v>ELSIO(SPFC)</v>
      </c>
      <c r="C10" s="75"/>
      <c r="D10" s="34" t="s">
        <v>22</v>
      </c>
      <c r="E10" s="75"/>
      <c r="F10" s="35" t="str">
        <f ca="1">IFERROR(IF($R$2,VLOOKUP($G10,ClassGrupFases!$C$54:$D$69,2,FALSE),""),"")</f>
        <v>ERISMAR(MZ)</v>
      </c>
      <c r="G10" s="57">
        <v>11</v>
      </c>
      <c r="H10" s="34">
        <v>6</v>
      </c>
      <c r="M10" s="58" t="str">
        <f>IFERROR(_xlfn.RANK.EQ(O10, O5:O12, 0), "")</f>
        <v/>
      </c>
      <c r="N10" s="59" t="str">
        <f t="shared" si="0"/>
        <v/>
      </c>
      <c r="O10" s="58" t="str">
        <f>IF(OR(C10="", E10=""), "", VLOOKUP(N10, ClassGrupFases!$D$6:$P$43, 11, 0))</f>
        <v/>
      </c>
      <c r="Q10" s="57" t="str">
        <f>IFERROR(_xlfn.RANK.EQ(S10, S5:S12, 0) + 8, "")</f>
        <v/>
      </c>
      <c r="R10" s="60" t="str">
        <f t="shared" si="1"/>
        <v/>
      </c>
      <c r="S10" s="57" t="str">
        <f>IF(OR(C10="", E10=""), "", VLOOKUP(R10, ClassGrupFases!$D$6:$P$43, 11, 0))</f>
        <v/>
      </c>
      <c r="U10" s="61" t="str">
        <f t="shared" si="2"/>
        <v/>
      </c>
      <c r="W10" s="61" t="str">
        <f t="shared" si="3"/>
        <v/>
      </c>
      <c r="X10" s="61" t="str">
        <f t="shared" si="4"/>
        <v/>
      </c>
      <c r="Y10" s="61" t="str">
        <f t="shared" si="5"/>
        <v/>
      </c>
      <c r="Z10" s="61" t="str">
        <f t="shared" si="6"/>
        <v/>
      </c>
      <c r="AA10" s="61" t="str">
        <f t="shared" si="7"/>
        <v/>
      </c>
      <c r="AB10" s="61" t="str">
        <f t="shared" si="8"/>
        <v/>
      </c>
      <c r="AC10" s="61" t="str">
        <f t="shared" si="9"/>
        <v/>
      </c>
      <c r="AD10" s="61" t="str">
        <f t="shared" si="10"/>
        <v/>
      </c>
      <c r="AE10" s="61" t="str">
        <f t="shared" si="11"/>
        <v/>
      </c>
    </row>
    <row r="11" spans="1:31" x14ac:dyDescent="0.3">
      <c r="A11" s="57">
        <v>7</v>
      </c>
      <c r="B11" s="74" t="str">
        <f ca="1">IFERROR(IF($R$2,VLOOKUP($A11,ClassGrupFases!$C$54:$D$69,2,FALSE),""),"")</f>
        <v>TUPINAMBÁ(LSJC)</v>
      </c>
      <c r="C11" s="75"/>
      <c r="D11" s="71" t="s">
        <v>22</v>
      </c>
      <c r="E11" s="75"/>
      <c r="F11" s="72" t="str">
        <f ca="1">IFERROR(IF($R$2,VLOOKUP($G11,ClassGrupFases!$C$54:$D$69,2,FALSE),""),"")</f>
        <v>GALDEANO(SCCP)</v>
      </c>
      <c r="G11" s="73">
        <v>10</v>
      </c>
      <c r="H11" s="71">
        <v>7</v>
      </c>
      <c r="I11" s="71"/>
      <c r="J11" s="71"/>
      <c r="K11" s="71"/>
      <c r="M11" s="58" t="str">
        <f>IFERROR(_xlfn.RANK.EQ(O11, O5:O12, 0), "")</f>
        <v/>
      </c>
      <c r="N11" s="59" t="str">
        <f t="shared" si="0"/>
        <v/>
      </c>
      <c r="O11" s="58" t="str">
        <f>IF(OR(C11="", E11=""), "", VLOOKUP(N11, ClassGrupFases!$D$6:$P$43, 11, 0))</f>
        <v/>
      </c>
      <c r="Q11" s="57" t="str">
        <f>IFERROR(_xlfn.RANK.EQ(S11, S5:S12, 0) + 8, "")</f>
        <v/>
      </c>
      <c r="R11" s="60" t="str">
        <f t="shared" si="1"/>
        <v/>
      </c>
      <c r="S11" s="57" t="str">
        <f>IF(OR(C11="", E11=""), "", VLOOKUP(R11, ClassGrupFases!$D$6:$P$43, 11, 0))</f>
        <v/>
      </c>
      <c r="U11" s="61" t="str">
        <f t="shared" si="2"/>
        <v/>
      </c>
      <c r="W11" s="61" t="str">
        <f t="shared" si="3"/>
        <v/>
      </c>
      <c r="X11" s="61" t="str">
        <f t="shared" si="4"/>
        <v/>
      </c>
      <c r="Y11" s="61" t="str">
        <f t="shared" si="5"/>
        <v/>
      </c>
      <c r="Z11" s="61" t="str">
        <f t="shared" si="6"/>
        <v/>
      </c>
      <c r="AA11" s="61" t="str">
        <f t="shared" si="7"/>
        <v/>
      </c>
      <c r="AB11" s="61" t="str">
        <f t="shared" si="8"/>
        <v/>
      </c>
      <c r="AC11" s="61" t="str">
        <f t="shared" si="9"/>
        <v/>
      </c>
      <c r="AD11" s="61" t="str">
        <f t="shared" si="10"/>
        <v/>
      </c>
      <c r="AE11" s="61" t="str">
        <f t="shared" si="11"/>
        <v/>
      </c>
    </row>
    <row r="12" spans="1:31" x14ac:dyDescent="0.3">
      <c r="A12" s="57">
        <v>8</v>
      </c>
      <c r="B12" s="62" t="str">
        <f ca="1">IFERROR(IF($R$2,VLOOKUP($A12,ClassGrupFases!$C$54:$D$69,2,FALSE),""),"")</f>
        <v>VINICIUS ROLIM(SCCP)</v>
      </c>
      <c r="C12" s="75"/>
      <c r="D12" s="34" t="s">
        <v>22</v>
      </c>
      <c r="E12" s="75"/>
      <c r="F12" s="35" t="str">
        <f ca="1">IFERROR(IF($R$2,VLOOKUP($G12,ClassGrupFases!$C$54:$D$69,2,FALSE),""),"")</f>
        <v>TERUEL(SCCP)</v>
      </c>
      <c r="G12" s="57">
        <v>9</v>
      </c>
      <c r="H12" s="34">
        <v>8</v>
      </c>
      <c r="M12" s="58" t="str">
        <f>IFERROR(_xlfn.RANK.EQ(O12, O5:O12, 0), "")</f>
        <v/>
      </c>
      <c r="N12" s="59" t="str">
        <f t="shared" si="0"/>
        <v/>
      </c>
      <c r="O12" s="58" t="str">
        <f>IF(OR(C12="", E12=""), "", VLOOKUP(N12, ClassGrupFases!$D$6:$P$43, 11, 0))</f>
        <v/>
      </c>
      <c r="Q12" s="57" t="str">
        <f>IFERROR(_xlfn.RANK.EQ(S12, S5:S12, 0) + 8, "")</f>
        <v/>
      </c>
      <c r="R12" s="60" t="str">
        <f t="shared" si="1"/>
        <v/>
      </c>
      <c r="S12" s="57" t="str">
        <f>IF(OR(C12="", E12=""), "", VLOOKUP(R12, ClassGrupFases!$D$6:$P$43, 11, 0))</f>
        <v/>
      </c>
      <c r="U12" s="61" t="str">
        <f t="shared" si="2"/>
        <v/>
      </c>
      <c r="W12" s="61" t="str">
        <f t="shared" si="3"/>
        <v/>
      </c>
      <c r="X12" s="61" t="str">
        <f t="shared" si="4"/>
        <v/>
      </c>
      <c r="Y12" s="61" t="str">
        <f t="shared" si="5"/>
        <v/>
      </c>
      <c r="Z12" s="61" t="str">
        <f t="shared" si="6"/>
        <v/>
      </c>
      <c r="AA12" s="61" t="str">
        <f t="shared" si="7"/>
        <v/>
      </c>
      <c r="AB12" s="61" t="str">
        <f t="shared" si="8"/>
        <v/>
      </c>
      <c r="AC12" s="61" t="str">
        <f t="shared" si="9"/>
        <v/>
      </c>
      <c r="AD12" s="61" t="str">
        <f t="shared" si="10"/>
        <v/>
      </c>
      <c r="AE12" s="61" t="str">
        <f t="shared" si="11"/>
        <v/>
      </c>
    </row>
    <row r="13" spans="1:31" ht="25.5" x14ac:dyDescent="0.5">
      <c r="B13" s="63" t="s">
        <v>80</v>
      </c>
      <c r="C13" s="63"/>
      <c r="D13" s="63"/>
      <c r="E13" s="63"/>
      <c r="F13" s="63"/>
      <c r="G13" s="63"/>
      <c r="H13" s="63"/>
      <c r="U13" s="61" t="s">
        <v>14</v>
      </c>
      <c r="V13" s="61" t="s">
        <v>14</v>
      </c>
      <c r="W13" s="61" t="s">
        <v>15</v>
      </c>
      <c r="X13" s="61" t="s">
        <v>16</v>
      </c>
      <c r="Y13" s="61" t="s">
        <v>16</v>
      </c>
      <c r="Z13" s="61" t="s">
        <v>17</v>
      </c>
      <c r="AA13" s="61" t="s">
        <v>18</v>
      </c>
      <c r="AB13" s="61" t="s">
        <v>19</v>
      </c>
      <c r="AC13" s="61" t="s">
        <v>15</v>
      </c>
      <c r="AD13" s="61" t="s">
        <v>20</v>
      </c>
      <c r="AE13" s="61" t="s">
        <v>21</v>
      </c>
    </row>
    <row r="14" spans="1:31" x14ac:dyDescent="0.3">
      <c r="B14" s="66" t="s">
        <v>76</v>
      </c>
      <c r="C14" s="66"/>
      <c r="D14" s="66"/>
      <c r="E14" s="66"/>
      <c r="F14" s="66"/>
      <c r="G14" s="66"/>
      <c r="H14" s="65" t="s">
        <v>77</v>
      </c>
      <c r="L14" s="64">
        <f>Jogos!K3 + TIME(0,120,0)</f>
        <v>44969.5625</v>
      </c>
      <c r="M14" s="68" t="s">
        <v>78</v>
      </c>
      <c r="N14" s="67"/>
      <c r="O14" s="67"/>
      <c r="Q14" s="70" t="s">
        <v>79</v>
      </c>
      <c r="R14" s="69"/>
      <c r="S14" s="69"/>
    </row>
    <row r="15" spans="1:31" x14ac:dyDescent="0.3">
      <c r="A15" s="57">
        <v>1</v>
      </c>
      <c r="B15" s="74" t="str">
        <f>IFERROR(VLOOKUP($A15,$M$5:$N$12, 2, FALSE), "")</f>
        <v/>
      </c>
      <c r="C15" s="75"/>
      <c r="D15" s="71" t="s">
        <v>22</v>
      </c>
      <c r="E15" s="75"/>
      <c r="F15" s="72" t="str">
        <f>IFERROR(VLOOKUP($G15,$M$5:$N$12, 2, FALSE), "")</f>
        <v/>
      </c>
      <c r="G15" s="73">
        <v>8</v>
      </c>
      <c r="H15" s="71">
        <v>1</v>
      </c>
      <c r="I15" s="71"/>
      <c r="J15" s="71"/>
      <c r="K15" s="71"/>
      <c r="M15" s="58" t="str">
        <f>IFERROR(_xlfn.RANK.EQ(O15, O15:O18, 0), "")</f>
        <v/>
      </c>
      <c r="N15" s="59" t="str">
        <f>IF(OR(C15="", E15=""), "", IF(OR(C15&gt;E15, C15=E15), B15, F15))</f>
        <v/>
      </c>
      <c r="O15" s="58" t="str">
        <f>IF(OR(C15="", E15=""), "", VLOOKUP(N15, ClassGrupFases!$D$6:$P$43, 11, 0))</f>
        <v/>
      </c>
      <c r="Q15" s="57" t="str">
        <f>IFERROR(_xlfn.RANK.EQ(S15, S15:S18, 0) + 4, "")</f>
        <v/>
      </c>
      <c r="R15" s="60" t="str">
        <f>IF(OR(C15="", E15=""), "", IF(OR(C15&gt;E15, C15=E15), F15, B15))</f>
        <v/>
      </c>
      <c r="S15" s="57" t="str">
        <f>IF(OR(C15="", E15=""), "", VLOOKUP(R15, ClassGrupFases!$D$6:$P$43, 11, 0))</f>
        <v/>
      </c>
      <c r="U15" s="61" t="str">
        <f>IF(OR(C15 = "",E15 = ""), "", F15)</f>
        <v/>
      </c>
      <c r="W15" s="61" t="str">
        <f>IF(OR(C15 = "",E15 = ""), "", IF(C15&gt;E15,B15, IF(E15&gt;C15,F15, "")))</f>
        <v/>
      </c>
      <c r="X15" s="61" t="str">
        <f>IF(OR(C15 = "",E15 = ""), "", IF(C15=E15,B15, ""))</f>
        <v/>
      </c>
      <c r="Y15" s="61" t="str">
        <f>IF(OR(C15 = "",E15 = ""), "", IF(C15=E15,F15, ""))</f>
        <v/>
      </c>
      <c r="Z15" s="61" t="str">
        <f>IF(OR(C15 = "",E15 = ""), "", IF(C15&gt;E15,F15, IF(E15&gt;C15,B15, "")))</f>
        <v/>
      </c>
      <c r="AA15" s="61" t="str">
        <f>IF(OR(C15 = "",E15 = ""), "", B15)</f>
        <v/>
      </c>
      <c r="AB15" s="61" t="str">
        <f>IF(C15 = "", "", C15)</f>
        <v/>
      </c>
      <c r="AC15" s="61" t="str">
        <f>IF(OR(C15 = "",E15 = ""), "", F15)</f>
        <v/>
      </c>
      <c r="AD15" s="61" t="str">
        <f>IF(E15 = "", "", E15)</f>
        <v/>
      </c>
      <c r="AE15" s="61" t="str">
        <f>IF(C15 = "", "", C15)</f>
        <v/>
      </c>
    </row>
    <row r="16" spans="1:31" x14ac:dyDescent="0.3">
      <c r="A16" s="57">
        <v>2</v>
      </c>
      <c r="B16" s="62" t="str">
        <f>IFERROR(VLOOKUP($A16,$M$5:$N$12, 2, FALSE), "")</f>
        <v/>
      </c>
      <c r="C16" s="75"/>
      <c r="D16" s="34" t="s">
        <v>22</v>
      </c>
      <c r="E16" s="75"/>
      <c r="F16" s="35" t="str">
        <f>IFERROR(VLOOKUP($G16,$M$5:$N$12, 2, FALSE), "")</f>
        <v/>
      </c>
      <c r="G16" s="57">
        <v>7</v>
      </c>
      <c r="H16" s="34">
        <v>2</v>
      </c>
      <c r="M16" s="58" t="str">
        <f>IFERROR(_xlfn.RANK.EQ(O16, O15:O18, 0), "")</f>
        <v/>
      </c>
      <c r="N16" s="59" t="str">
        <f>IF(OR(C16="", E16=""), "", IF(OR(C16&gt;E16, C16=E16), B16, F16))</f>
        <v/>
      </c>
      <c r="O16" s="58" t="str">
        <f>IF(OR(C16="", E16=""), "", VLOOKUP(N16, ClassGrupFases!$D$6:$P$43, 11, 0))</f>
        <v/>
      </c>
      <c r="Q16" s="57" t="str">
        <f>IFERROR(_xlfn.RANK.EQ(S16, S15:S18, 0) + 4, "")</f>
        <v/>
      </c>
      <c r="R16" s="60" t="str">
        <f>IF(OR(C16="", E16=""), "", IF(OR(C16&gt;E16, C16=E16), F16, B16))</f>
        <v/>
      </c>
      <c r="S16" s="57" t="str">
        <f>IF(OR(C16="", E16=""), "", VLOOKUP(R16, ClassGrupFases!$D$6:$P$43, 11, 0))</f>
        <v/>
      </c>
      <c r="U16" s="61" t="str">
        <f>IF(OR(C16 = "",E16 = ""), "", F16)</f>
        <v/>
      </c>
      <c r="W16" s="61" t="str">
        <f>IF(OR(C16 = "",E16 = ""), "", IF(C16&gt;E16,B16, IF(E16&gt;C16,F16, "")))</f>
        <v/>
      </c>
      <c r="X16" s="61" t="str">
        <f>IF(OR(C16 = "",E16 = ""), "", IF(C16=E16,B16, ""))</f>
        <v/>
      </c>
      <c r="Y16" s="61" t="str">
        <f>IF(OR(C16 = "",E16 = ""), "", IF(C16=E16,F16, ""))</f>
        <v/>
      </c>
      <c r="Z16" s="61" t="str">
        <f>IF(OR(C16 = "",E16 = ""), "", IF(C16&gt;E16,F16, IF(E16&gt;C16,B16, "")))</f>
        <v/>
      </c>
      <c r="AA16" s="61" t="str">
        <f>IF(OR(C16 = "",E16 = ""), "", B16)</f>
        <v/>
      </c>
      <c r="AB16" s="61" t="str">
        <f>IF(C16 = "", "", C16)</f>
        <v/>
      </c>
      <c r="AC16" s="61" t="str">
        <f>IF(OR(C16 = "",E16 = ""), "", F16)</f>
        <v/>
      </c>
      <c r="AD16" s="61" t="str">
        <f>IF(E16 = "", "", E16)</f>
        <v/>
      </c>
      <c r="AE16" s="61" t="str">
        <f>IF(C16 = "", "", C16)</f>
        <v/>
      </c>
    </row>
    <row r="17" spans="1:31" x14ac:dyDescent="0.3">
      <c r="A17" s="57">
        <v>3</v>
      </c>
      <c r="B17" s="74" t="str">
        <f>IFERROR(VLOOKUP($A17,$M$5:$N$12, 2, FALSE), "")</f>
        <v/>
      </c>
      <c r="C17" s="75"/>
      <c r="D17" s="71" t="s">
        <v>22</v>
      </c>
      <c r="E17" s="75"/>
      <c r="F17" s="72" t="str">
        <f>IFERROR(VLOOKUP($G17,$M$5:$N$12, 2, FALSE), "")</f>
        <v/>
      </c>
      <c r="G17" s="73">
        <v>6</v>
      </c>
      <c r="H17" s="71">
        <v>3</v>
      </c>
      <c r="I17" s="71"/>
      <c r="J17" s="71"/>
      <c r="K17" s="71"/>
      <c r="M17" s="58" t="str">
        <f>IFERROR(_xlfn.RANK.EQ(O17, O15:O18, 0), "")</f>
        <v/>
      </c>
      <c r="N17" s="59" t="str">
        <f>IF(OR(C17="", E17=""), "", IF(OR(C17&gt;E17, C17=E17), B17, F17))</f>
        <v/>
      </c>
      <c r="O17" s="58" t="str">
        <f>IF(OR(C17="", E17=""), "", VLOOKUP(N17, ClassGrupFases!$D$6:$P$43, 11, 0))</f>
        <v/>
      </c>
      <c r="Q17" s="57" t="str">
        <f>IFERROR(_xlfn.RANK.EQ(S17, S15:S18, 0) + 4, "")</f>
        <v/>
      </c>
      <c r="R17" s="60" t="str">
        <f>IF(OR(C17="", E17=""), "", IF(OR(C17&gt;E17, C17=E17), F17, B17))</f>
        <v/>
      </c>
      <c r="S17" s="57" t="str">
        <f>IF(OR(C17="", E17=""), "", VLOOKUP(R17, ClassGrupFases!$D$6:$P$43, 11, 0))</f>
        <v/>
      </c>
      <c r="U17" s="61" t="str">
        <f>IF(OR(C17 = "",E17 = ""), "", F17)</f>
        <v/>
      </c>
      <c r="W17" s="61" t="str">
        <f>IF(OR(C17 = "",E17 = ""), "", IF(C17&gt;E17,B17, IF(E17&gt;C17,F17, "")))</f>
        <v/>
      </c>
      <c r="X17" s="61" t="str">
        <f>IF(OR(C17 = "",E17 = ""), "", IF(C17=E17,B17, ""))</f>
        <v/>
      </c>
      <c r="Y17" s="61" t="str">
        <f>IF(OR(C17 = "",E17 = ""), "", IF(C17=E17,F17, ""))</f>
        <v/>
      </c>
      <c r="Z17" s="61" t="str">
        <f>IF(OR(C17 = "",E17 = ""), "", IF(C17&gt;E17,F17, IF(E17&gt;C17,B17, "")))</f>
        <v/>
      </c>
      <c r="AA17" s="61" t="str">
        <f>IF(OR(C17 = "",E17 = ""), "", B17)</f>
        <v/>
      </c>
      <c r="AB17" s="61" t="str">
        <f>IF(C17 = "", "", C17)</f>
        <v/>
      </c>
      <c r="AC17" s="61" t="str">
        <f>IF(OR(C17 = "",E17 = ""), "", F17)</f>
        <v/>
      </c>
      <c r="AD17" s="61" t="str">
        <f>IF(E17 = "", "", E17)</f>
        <v/>
      </c>
      <c r="AE17" s="61" t="str">
        <f>IF(C17 = "", "", C17)</f>
        <v/>
      </c>
    </row>
    <row r="18" spans="1:31" x14ac:dyDescent="0.3">
      <c r="A18" s="57">
        <v>4</v>
      </c>
      <c r="B18" s="62" t="str">
        <f>IFERROR(VLOOKUP($A18,$M$5:$N$12, 2, FALSE), "")</f>
        <v/>
      </c>
      <c r="C18" s="75"/>
      <c r="D18" s="34" t="s">
        <v>22</v>
      </c>
      <c r="E18" s="75"/>
      <c r="F18" s="35" t="str">
        <f>IFERROR(VLOOKUP($G18,$M$5:$N$12, 2, FALSE), "")</f>
        <v/>
      </c>
      <c r="G18" s="57">
        <v>5</v>
      </c>
      <c r="H18" s="34">
        <v>4</v>
      </c>
      <c r="M18" s="58" t="str">
        <f>IFERROR(_xlfn.RANK.EQ(O18, O15:O18, 0), "")</f>
        <v/>
      </c>
      <c r="N18" s="59" t="str">
        <f>IF(OR(C18="", E18=""), "", IF(OR(C18&gt;E18, C18=E18), B18, F18))</f>
        <v/>
      </c>
      <c r="O18" s="58" t="str">
        <f>IF(OR(C18="", E18=""), "", VLOOKUP(N18, ClassGrupFases!$D$6:$P$43, 11, 0))</f>
        <v/>
      </c>
      <c r="Q18" s="57" t="str">
        <f>IFERROR(_xlfn.RANK.EQ(S18, S15:S18, 0) + 4, "")</f>
        <v/>
      </c>
      <c r="R18" s="60" t="str">
        <f>IF(OR(C18="", E18=""), "", IF(OR(C18&gt;E18, C18=E18), F18, B18))</f>
        <v/>
      </c>
      <c r="S18" s="57" t="str">
        <f>IF(OR(C18="", E18=""), "", VLOOKUP(R18, ClassGrupFases!$D$6:$P$43, 11, 0))</f>
        <v/>
      </c>
      <c r="U18" s="61" t="str">
        <f>IF(OR(C18 = "",E18 = ""), "", F18)</f>
        <v/>
      </c>
      <c r="W18" s="61" t="str">
        <f>IF(OR(C18 = "",E18 = ""), "", IF(C18&gt;E18,B18, IF(E18&gt;C18,F18, "")))</f>
        <v/>
      </c>
      <c r="X18" s="61" t="str">
        <f>IF(OR(C18 = "",E18 = ""), "", IF(C18=E18,B18, ""))</f>
        <v/>
      </c>
      <c r="Y18" s="61" t="str">
        <f>IF(OR(C18 = "",E18 = ""), "", IF(C18=E18,F18, ""))</f>
        <v/>
      </c>
      <c r="Z18" s="61" t="str">
        <f>IF(OR(C18 = "",E18 = ""), "", IF(C18&gt;E18,F18, IF(E18&gt;C18,B18, "")))</f>
        <v/>
      </c>
      <c r="AA18" s="61" t="str">
        <f>IF(OR(C18 = "",E18 = ""), "", B18)</f>
        <v/>
      </c>
      <c r="AB18" s="61" t="str">
        <f>IF(C18 = "", "", C18)</f>
        <v/>
      </c>
      <c r="AC18" s="61" t="str">
        <f>IF(OR(C18 = "",E18 = ""), "", F18)</f>
        <v/>
      </c>
      <c r="AD18" s="61" t="str">
        <f>IF(E18 = "", "", E18)</f>
        <v/>
      </c>
      <c r="AE18" s="61" t="str">
        <f>IF(C18 = "", "", C18)</f>
        <v/>
      </c>
    </row>
    <row r="19" spans="1:31" ht="25.5" x14ac:dyDescent="0.5">
      <c r="B19" s="63" t="s">
        <v>81</v>
      </c>
      <c r="C19" s="63"/>
      <c r="D19" s="63"/>
      <c r="E19" s="63"/>
      <c r="F19" s="63"/>
      <c r="G19" s="63"/>
      <c r="H19" s="63"/>
      <c r="U19" s="61" t="s">
        <v>14</v>
      </c>
      <c r="V19" s="61" t="s">
        <v>14</v>
      </c>
      <c r="W19" s="61" t="s">
        <v>15</v>
      </c>
      <c r="X19" s="61" t="s">
        <v>16</v>
      </c>
      <c r="Y19" s="61" t="s">
        <v>16</v>
      </c>
      <c r="Z19" s="61" t="s">
        <v>17</v>
      </c>
      <c r="AA19" s="61" t="s">
        <v>18</v>
      </c>
      <c r="AB19" s="61" t="s">
        <v>19</v>
      </c>
      <c r="AC19" s="61" t="s">
        <v>15</v>
      </c>
      <c r="AD19" s="61" t="s">
        <v>20</v>
      </c>
      <c r="AE19" s="61" t="s">
        <v>21</v>
      </c>
    </row>
    <row r="20" spans="1:31" x14ac:dyDescent="0.3">
      <c r="B20" s="66" t="s">
        <v>76</v>
      </c>
      <c r="C20" s="66"/>
      <c r="D20" s="66"/>
      <c r="E20" s="66"/>
      <c r="F20" s="66"/>
      <c r="G20" s="66"/>
      <c r="H20" s="65" t="s">
        <v>77</v>
      </c>
      <c r="L20" s="64">
        <f>Jogos!K3 + TIME(0,140,0)</f>
        <v>44969.576388888883</v>
      </c>
      <c r="M20" s="68" t="s">
        <v>78</v>
      </c>
      <c r="N20" s="67"/>
      <c r="O20" s="67"/>
      <c r="Q20" s="70" t="s">
        <v>79</v>
      </c>
      <c r="R20" s="69"/>
      <c r="S20" s="69"/>
    </row>
    <row r="21" spans="1:31" x14ac:dyDescent="0.3">
      <c r="A21" s="57">
        <v>1</v>
      </c>
      <c r="B21" s="74" t="str">
        <f>IFERROR(VLOOKUP($A21,$M$15:$N$18, 2, FALSE), "")</f>
        <v/>
      </c>
      <c r="C21" s="75"/>
      <c r="D21" s="71" t="s">
        <v>22</v>
      </c>
      <c r="E21" s="75"/>
      <c r="F21" s="72" t="str">
        <f>IFERROR(VLOOKUP($G21,$M$15:$N$18, 2, FALSE), "")</f>
        <v/>
      </c>
      <c r="G21" s="73">
        <v>4</v>
      </c>
      <c r="H21" s="71">
        <v>1</v>
      </c>
      <c r="I21" s="71"/>
      <c r="J21" s="71"/>
      <c r="K21" s="71"/>
      <c r="M21" s="58" t="str">
        <f>IFERROR(_xlfn.RANK.EQ(O21, O21:O22, 0), "")</f>
        <v/>
      </c>
      <c r="N21" s="59" t="str">
        <f>IF(OR(C21="", E21=""), "", IF(OR(C21&gt;E21, C21=E21), B21, F21))</f>
        <v/>
      </c>
      <c r="O21" s="58" t="str">
        <f>IF(OR(C21="", E21=""), "", VLOOKUP(N21, ClassGrupFases!$D$6:$P$43, 11, 0))</f>
        <v/>
      </c>
      <c r="Q21" s="57" t="str">
        <f>IFERROR(_xlfn.RANK.EQ(S21, S21:S22, 0) + 2, "")</f>
        <v/>
      </c>
      <c r="R21" s="60" t="str">
        <f>IF(OR(C21="", E21=""), "", IF(OR(C21&gt;E21, C21=E21), F21, B21))</f>
        <v/>
      </c>
      <c r="S21" s="57" t="str">
        <f>IF(OR(C21="", E21=""), "", VLOOKUP(R21, ClassGrupFases!$D$6:$P$43, 11, 0))</f>
        <v/>
      </c>
      <c r="U21" s="61" t="str">
        <f>IF(OR(C21 = "",E21 = ""), "", F21)</f>
        <v/>
      </c>
      <c r="W21" s="61" t="str">
        <f>IF(OR(C21 = "",E21 = ""), "", IF(C21&gt;E21,B21, IF(E21&gt;C21,F21, "")))</f>
        <v/>
      </c>
      <c r="X21" s="61" t="str">
        <f>IF(OR(C21 = "",E21 = ""), "", IF(C21=E21,B21, ""))</f>
        <v/>
      </c>
      <c r="Y21" s="61" t="str">
        <f>IF(OR(C21 = "",E21 = ""), "", IF(C21=E21,F21, ""))</f>
        <v/>
      </c>
      <c r="Z21" s="61" t="str">
        <f>IF(OR(C21 = "",E21 = ""), "", IF(C21&gt;E21,F21, IF(E21&gt;C21,B21, "")))</f>
        <v/>
      </c>
      <c r="AA21" s="61" t="str">
        <f>IF(OR(C21 = "",E21 = ""), "", B21)</f>
        <v/>
      </c>
      <c r="AB21" s="61" t="str">
        <f>IF(C21 = "", "", C21)</f>
        <v/>
      </c>
      <c r="AC21" s="61" t="str">
        <f>IF(OR(C21 = "",E21 = ""), "", F21)</f>
        <v/>
      </c>
      <c r="AD21" s="61" t="str">
        <f>IF(E21 = "", "", E21)</f>
        <v/>
      </c>
      <c r="AE21" s="61" t="str">
        <f>IF(C21 = "", "", C21)</f>
        <v/>
      </c>
    </row>
    <row r="22" spans="1:31" x14ac:dyDescent="0.3">
      <c r="A22" s="57">
        <v>2</v>
      </c>
      <c r="B22" s="62" t="str">
        <f>IFERROR(VLOOKUP($A22,$M$15:$N$18, 2, FALSE), "")</f>
        <v/>
      </c>
      <c r="C22" s="75"/>
      <c r="D22" s="34" t="s">
        <v>22</v>
      </c>
      <c r="E22" s="75"/>
      <c r="F22" s="35" t="str">
        <f>IFERROR(VLOOKUP($G22,$M$15:$N$18, 2, FALSE), "")</f>
        <v/>
      </c>
      <c r="G22" s="57">
        <v>3</v>
      </c>
      <c r="H22" s="34">
        <v>2</v>
      </c>
      <c r="M22" s="58" t="str">
        <f>IFERROR(_xlfn.RANK.EQ(O22, O21:O22, 0), "")</f>
        <v/>
      </c>
      <c r="N22" s="59" t="str">
        <f>IF(OR(C22="", E22=""), "", IF(OR(C22&gt;E22, C22=E22), B22, F22))</f>
        <v/>
      </c>
      <c r="O22" s="58" t="str">
        <f>IF(OR(C22="", E22=""), "", VLOOKUP(N22, ClassGrupFases!$D$6:$P$43, 11, 0))</f>
        <v/>
      </c>
      <c r="Q22" s="57" t="str">
        <f>IFERROR(_xlfn.RANK.EQ(S22, S21:S22, 0) + 2, "")</f>
        <v/>
      </c>
      <c r="R22" s="60" t="str">
        <f>IF(OR(C22="", E22=""), "", IF(OR(C22&gt;E22, C22=E22), F22, B22))</f>
        <v/>
      </c>
      <c r="S22" s="57" t="str">
        <f>IF(OR(C22="", E22=""), "", VLOOKUP(R22, ClassGrupFases!$D$6:$P$43, 11, 0))</f>
        <v/>
      </c>
      <c r="U22" s="61" t="str">
        <f>IF(OR(C22 = "",E22 = ""), "", F22)</f>
        <v/>
      </c>
      <c r="W22" s="61" t="str">
        <f>IF(OR(C22 = "",E22 = ""), "", IF(C22&gt;E22,B22, IF(E22&gt;C22,F22, "")))</f>
        <v/>
      </c>
      <c r="X22" s="61" t="str">
        <f>IF(OR(C22 = "",E22 = ""), "", IF(C22=E22,B22, ""))</f>
        <v/>
      </c>
      <c r="Y22" s="61" t="str">
        <f>IF(OR(C22 = "",E22 = ""), "", IF(C22=E22,F22, ""))</f>
        <v/>
      </c>
      <c r="Z22" s="61" t="str">
        <f>IF(OR(C22 = "",E22 = ""), "", IF(C22&gt;E22,F22, IF(E22&gt;C22,B22, "")))</f>
        <v/>
      </c>
      <c r="AA22" s="61" t="str">
        <f>IF(OR(C22 = "",E22 = ""), "", B22)</f>
        <v/>
      </c>
      <c r="AB22" s="61" t="str">
        <f>IF(C22 = "", "", C22)</f>
        <v/>
      </c>
      <c r="AC22" s="61" t="str">
        <f>IF(OR(C22 = "",E22 = ""), "", F22)</f>
        <v/>
      </c>
      <c r="AD22" s="61" t="str">
        <f>IF(E22 = "", "", E22)</f>
        <v/>
      </c>
      <c r="AE22" s="61" t="str">
        <f>IF(C22 = "", "", C22)</f>
        <v/>
      </c>
    </row>
    <row r="23" spans="1:31" ht="25.5" x14ac:dyDescent="0.5">
      <c r="B23" s="63" t="s">
        <v>82</v>
      </c>
      <c r="C23" s="63"/>
      <c r="D23" s="63"/>
      <c r="E23" s="63"/>
      <c r="F23" s="63"/>
      <c r="G23" s="63"/>
      <c r="H23" s="63"/>
      <c r="U23" s="61" t="s">
        <v>14</v>
      </c>
      <c r="V23" s="61" t="s">
        <v>14</v>
      </c>
      <c r="W23" s="61" t="s">
        <v>15</v>
      </c>
      <c r="X23" s="61" t="s">
        <v>16</v>
      </c>
      <c r="Y23" s="61" t="s">
        <v>16</v>
      </c>
      <c r="Z23" s="61" t="s">
        <v>17</v>
      </c>
      <c r="AA23" s="61" t="s">
        <v>18</v>
      </c>
      <c r="AB23" s="61" t="s">
        <v>19</v>
      </c>
      <c r="AC23" s="61" t="s">
        <v>15</v>
      </c>
      <c r="AD23" s="61" t="s">
        <v>20</v>
      </c>
      <c r="AE23" s="61" t="s">
        <v>21</v>
      </c>
    </row>
    <row r="24" spans="1:31" x14ac:dyDescent="0.3">
      <c r="B24" s="66" t="s">
        <v>76</v>
      </c>
      <c r="C24" s="66"/>
      <c r="D24" s="66"/>
      <c r="E24" s="66"/>
      <c r="F24" s="66"/>
      <c r="G24" s="66"/>
      <c r="H24" s="65" t="s">
        <v>77</v>
      </c>
      <c r="L24" s="64">
        <f>Jogos!K3 + TIME(0,160,0)</f>
        <v>44969.590277777774</v>
      </c>
      <c r="M24" s="68" t="s">
        <v>78</v>
      </c>
      <c r="N24" s="67"/>
      <c r="O24" s="67"/>
      <c r="Q24" s="70" t="s">
        <v>79</v>
      </c>
      <c r="R24" s="69"/>
      <c r="S24" s="69"/>
    </row>
    <row r="25" spans="1:31" x14ac:dyDescent="0.3">
      <c r="A25" s="57">
        <v>3</v>
      </c>
      <c r="B25" s="74" t="str">
        <f>IFERROR(VLOOKUP($A25,$Q$21:$R$22, 2, FALSE), "")</f>
        <v/>
      </c>
      <c r="C25" s="75"/>
      <c r="D25" s="71" t="s">
        <v>22</v>
      </c>
      <c r="E25" s="75"/>
      <c r="F25" s="72" t="str">
        <f>IFERROR(VLOOKUP($G25,$Q$21:$R$22, 2, FALSE), "")</f>
        <v/>
      </c>
      <c r="G25" s="73">
        <v>4</v>
      </c>
      <c r="H25" s="71">
        <v>2</v>
      </c>
      <c r="I25" s="71"/>
      <c r="J25" s="71"/>
      <c r="K25" s="71"/>
      <c r="M25" s="58" t="str">
        <f>IFERROR(_xlfn.RANK.EQ(O25, O25:O25, 0), "")</f>
        <v/>
      </c>
      <c r="N25" s="59" t="str">
        <f>IF(OR(C25="", E25=""), "", IF(OR(C25&gt;E25, C25=E25), B25, F25))</f>
        <v/>
      </c>
      <c r="O25" s="58" t="str">
        <f>IF(OR(C25="", E25=""), "", VLOOKUP(N25, ClassGrupFases!$D$6:$P$43, 11, 0))</f>
        <v/>
      </c>
      <c r="Q25" s="57" t="str">
        <f>IFERROR(_xlfn.RANK.EQ(S25, S25:S25, 0) + 1, "")</f>
        <v/>
      </c>
      <c r="R25" s="60" t="str">
        <f>IF(OR(C25="", E25=""), "", IF(OR(C25&gt;E25, C25=E25), F25, B25))</f>
        <v/>
      </c>
      <c r="S25" s="57" t="str">
        <f>IF(OR(C25="", E25=""), "", VLOOKUP(R25, ClassGrupFases!$D$6:$P$43, 11, 0))</f>
        <v/>
      </c>
      <c r="U25" s="61" t="str">
        <f>IF(OR(C25 = "",E25 = ""), "", F25)</f>
        <v/>
      </c>
      <c r="W25" s="61" t="str">
        <f>IF(OR(C25 = "",E25 = ""), "", IF(C25&gt;E25,B25, IF(E25&gt;C25,F25, "")))</f>
        <v/>
      </c>
      <c r="X25" s="61" t="str">
        <f>IF(OR(C25 = "",E25 = ""), "", IF(C25=E25,B25, ""))</f>
        <v/>
      </c>
      <c r="Y25" s="61" t="str">
        <f>IF(OR(C25 = "",E25 = ""), "", IF(C25=E25,F25, ""))</f>
        <v/>
      </c>
      <c r="Z25" s="61" t="str">
        <f>IF(OR(C25 = "",E25 = ""), "", IF(C25&gt;E25,F25, IF(E25&gt;C25,B25, "")))</f>
        <v/>
      </c>
      <c r="AA25" s="61" t="str">
        <f>IF(OR(C25 = "",E25 = ""), "", B25)</f>
        <v/>
      </c>
      <c r="AB25" s="61" t="str">
        <f>IF(C25 = "", "", C25)</f>
        <v/>
      </c>
      <c r="AC25" s="61" t="str">
        <f>IF(OR(C25 = "",E25 = ""), "", F25)</f>
        <v/>
      </c>
      <c r="AD25" s="61" t="str">
        <f>IF(E25 = "", "", E25)</f>
        <v/>
      </c>
      <c r="AE25" s="61" t="str">
        <f>IF(C25 = "", "", C25)</f>
        <v/>
      </c>
    </row>
    <row r="26" spans="1:31" ht="25.5" x14ac:dyDescent="0.5">
      <c r="B26" s="63" t="s">
        <v>83</v>
      </c>
      <c r="C26" s="63"/>
      <c r="D26" s="63"/>
      <c r="E26" s="63"/>
      <c r="F26" s="63"/>
      <c r="G26" s="63"/>
      <c r="H26" s="63"/>
      <c r="U26" s="61" t="s">
        <v>14</v>
      </c>
      <c r="V26" s="61" t="s">
        <v>14</v>
      </c>
      <c r="W26" s="61" t="s">
        <v>15</v>
      </c>
      <c r="X26" s="61" t="s">
        <v>16</v>
      </c>
      <c r="Y26" s="61" t="s">
        <v>16</v>
      </c>
      <c r="Z26" s="61" t="s">
        <v>17</v>
      </c>
      <c r="AA26" s="61" t="s">
        <v>18</v>
      </c>
      <c r="AB26" s="61" t="s">
        <v>19</v>
      </c>
      <c r="AC26" s="61" t="s">
        <v>15</v>
      </c>
      <c r="AD26" s="61" t="s">
        <v>20</v>
      </c>
      <c r="AE26" s="61" t="s">
        <v>21</v>
      </c>
    </row>
    <row r="27" spans="1:31" x14ac:dyDescent="0.3">
      <c r="B27" s="66" t="s">
        <v>76</v>
      </c>
      <c r="C27" s="66"/>
      <c r="D27" s="66"/>
      <c r="E27" s="66"/>
      <c r="F27" s="66"/>
      <c r="G27" s="66"/>
      <c r="H27" s="65" t="s">
        <v>77</v>
      </c>
      <c r="L27" s="64">
        <f>Jogos!K3 + TIME(0,160,0)</f>
        <v>44969.590277777774</v>
      </c>
      <c r="M27" s="68" t="s">
        <v>78</v>
      </c>
      <c r="N27" s="67"/>
      <c r="O27" s="67"/>
      <c r="Q27" s="70" t="s">
        <v>79</v>
      </c>
      <c r="R27" s="69"/>
      <c r="S27" s="69"/>
    </row>
    <row r="28" spans="1:31" x14ac:dyDescent="0.3">
      <c r="A28" s="57">
        <v>1</v>
      </c>
      <c r="B28" s="62" t="str">
        <f>IFERROR(VLOOKUP($A28,$M$21:$N$22, 2, FALSE), "")</f>
        <v/>
      </c>
      <c r="C28" s="75"/>
      <c r="D28" s="34" t="s">
        <v>22</v>
      </c>
      <c r="E28" s="75"/>
      <c r="F28" s="35" t="str">
        <f>IFERROR(VLOOKUP($G28,$M$21:$N$22, 2, FALSE), "")</f>
        <v/>
      </c>
      <c r="G28" s="57">
        <v>2</v>
      </c>
      <c r="H28" s="34">
        <v>1</v>
      </c>
      <c r="M28" s="58" t="str">
        <f>IFERROR(_xlfn.RANK.EQ(O28, O28:O28, 0), "")</f>
        <v/>
      </c>
      <c r="N28" s="59" t="str">
        <f>IF(OR(C28="", E28=""), "", IF(OR(C28&gt;E28, C28=E28), B28, F28))</f>
        <v/>
      </c>
      <c r="O28" s="58" t="str">
        <f>IF(OR(C28="", E28=""), "", VLOOKUP(N28, ClassGrupFases!$D$6:$P$43, 11, 0))</f>
        <v/>
      </c>
      <c r="Q28" s="57" t="str">
        <f>IFERROR(_xlfn.RANK.EQ(S28, S28:S28, 0) + 1, "")</f>
        <v/>
      </c>
      <c r="R28" s="60" t="str">
        <f>IF(OR(C28="", E28=""), "", IF(OR(C28&gt;E28, C28=E28), F28, B28))</f>
        <v/>
      </c>
      <c r="S28" s="57" t="str">
        <f>IF(OR(C28="", E28=""), "", VLOOKUP(R28, ClassGrupFases!$D$6:$P$43, 11, 0))</f>
        <v/>
      </c>
      <c r="U28" s="61" t="str">
        <f>IF(OR(C28 = "",E28 = ""), "", F28)</f>
        <v/>
      </c>
      <c r="W28" s="61" t="str">
        <f>IF(OR(C28 = "",E28 = ""), "", IF(C28&gt;E28,B28, IF(E28&gt;C28,F28, "")))</f>
        <v/>
      </c>
      <c r="X28" s="61" t="str">
        <f>IF(OR(C28 = "",E28 = ""), "", IF(C28=E28,B28, ""))</f>
        <v/>
      </c>
      <c r="Y28" s="61" t="str">
        <f>IF(OR(C28 = "",E28 = ""), "", IF(C28=E28,F28, ""))</f>
        <v/>
      </c>
      <c r="Z28" s="61" t="str">
        <f>IF(OR(C28 = "",E28 = ""), "", IF(C28&gt;E28,F28, IF(E28&gt;C28,B28, "")))</f>
        <v/>
      </c>
      <c r="AA28" s="61" t="str">
        <f>IF(OR(C28 = "",E28 = ""), "", B28)</f>
        <v/>
      </c>
      <c r="AB28" s="61" t="str">
        <f>IF(C28 = "", "", C28)</f>
        <v/>
      </c>
      <c r="AC28" s="61" t="str">
        <f>IF(OR(C28 = "",E28 = ""), "", F28)</f>
        <v/>
      </c>
      <c r="AD28" s="61" t="str">
        <f>IF(E28 = "", "", E28)</f>
        <v/>
      </c>
      <c r="AE28" s="61" t="str">
        <f>IF(C28 = "", "", C28)</f>
        <v/>
      </c>
    </row>
  </sheetData>
  <sheetProtection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875" defaultRowHeight="20.25" x14ac:dyDescent="0.35"/>
  <cols>
    <col min="1" max="1" width="1.875" style="76" customWidth="1"/>
    <col min="2" max="2" width="5.875" style="89" customWidth="1"/>
    <col min="3" max="3" width="50.875" style="78" customWidth="1"/>
    <col min="4" max="16384" width="10.875" style="76"/>
  </cols>
  <sheetData>
    <row r="1" spans="2:3" ht="21" x14ac:dyDescent="0.35">
      <c r="B1" s="77" t="s">
        <v>85</v>
      </c>
    </row>
    <row r="2" spans="2:3" x14ac:dyDescent="0.35">
      <c r="B2" s="79" t="s">
        <v>1</v>
      </c>
    </row>
    <row r="3" spans="2:3" ht="25.5" x14ac:dyDescent="0.5">
      <c r="B3" s="80" t="s">
        <v>84</v>
      </c>
      <c r="C3" s="80"/>
    </row>
    <row r="4" spans="2:3" x14ac:dyDescent="0.35">
      <c r="B4" s="81" t="s">
        <v>86</v>
      </c>
      <c r="C4" s="82" t="str">
        <f ca="1">IFERROR(INDEX(Finais!N:N,MATCH("Final",Finais!B:B,0)+2),"")</f>
        <v/>
      </c>
    </row>
    <row r="5" spans="2:3" x14ac:dyDescent="0.35">
      <c r="B5" s="81" t="s">
        <v>87</v>
      </c>
      <c r="C5" s="82" t="str">
        <f ca="1">IFERROR(INDEX(Finais!R:R,MATCH("Final",Finais!B:B,0)+2),"")</f>
        <v/>
      </c>
    </row>
    <row r="6" spans="2:3" x14ac:dyDescent="0.35">
      <c r="B6" s="81" t="s">
        <v>88</v>
      </c>
      <c r="C6" s="82" t="str">
        <f ca="1">IFERROR(INDEX(Finais!N:N,MATCH("Disputa de 3º lugar",Finais!B:B,0)+2),"")</f>
        <v/>
      </c>
    </row>
    <row r="7" spans="2:3" x14ac:dyDescent="0.35">
      <c r="B7" s="81" t="s">
        <v>89</v>
      </c>
      <c r="C7" s="82" t="str">
        <f ca="1">IFERROR(INDEX(Finais!R:R,MATCH("Disputa de 3º lugar",Finais!B:B,0)+2),"")</f>
        <v/>
      </c>
    </row>
    <row r="8" spans="2:3" x14ac:dyDescent="0.35">
      <c r="B8" s="83" t="s">
        <v>90</v>
      </c>
      <c r="C8" s="84" t="str">
        <f>IFERROR(VLOOKUP(5,Finais!Q:R,2,FALSE),"")</f>
        <v/>
      </c>
    </row>
    <row r="9" spans="2:3" x14ac:dyDescent="0.35">
      <c r="B9" s="83" t="s">
        <v>91</v>
      </c>
      <c r="C9" s="84" t="str">
        <f>IFERROR(VLOOKUP(6,Finais!Q:R,2,FALSE),"")</f>
        <v/>
      </c>
    </row>
    <row r="10" spans="2:3" x14ac:dyDescent="0.35">
      <c r="B10" s="83" t="s">
        <v>92</v>
      </c>
      <c r="C10" s="84" t="str">
        <f>IFERROR(VLOOKUP(7,Finais!Q:R,2,FALSE),"")</f>
        <v/>
      </c>
    </row>
    <row r="11" spans="2:3" x14ac:dyDescent="0.35">
      <c r="B11" s="85" t="s">
        <v>93</v>
      </c>
      <c r="C11" s="86" t="str">
        <f>IFERROR(VLOOKUP(8,Finais!Q:R,2,FALSE),"")</f>
        <v/>
      </c>
    </row>
    <row r="12" spans="2:3" x14ac:dyDescent="0.35">
      <c r="B12" s="87" t="s">
        <v>94</v>
      </c>
      <c r="C12" s="88" t="str">
        <f>IFERROR(VLOOKUP(9,Finais!Q:R,2,FALSE),"")</f>
        <v/>
      </c>
    </row>
    <row r="13" spans="2:3" x14ac:dyDescent="0.35">
      <c r="B13" s="87" t="s">
        <v>95</v>
      </c>
      <c r="C13" s="88" t="str">
        <f>IFERROR(VLOOKUP(10,Finais!Q:R,2,FALSE),"")</f>
        <v/>
      </c>
    </row>
    <row r="14" spans="2:3" x14ac:dyDescent="0.35">
      <c r="B14" s="87" t="s">
        <v>96</v>
      </c>
      <c r="C14" s="88" t="str">
        <f>IFERROR(VLOOKUP(11,Finais!Q:R,2,FALSE),"")</f>
        <v/>
      </c>
    </row>
    <row r="15" spans="2:3" x14ac:dyDescent="0.35">
      <c r="B15" s="87" t="s">
        <v>97</v>
      </c>
      <c r="C15" s="88" t="str">
        <f>IFERROR(VLOOKUP(12,Finais!Q:R,2,FALSE),"")</f>
        <v/>
      </c>
    </row>
    <row r="16" spans="2:3" x14ac:dyDescent="0.35">
      <c r="B16" s="87" t="s">
        <v>98</v>
      </c>
      <c r="C16" s="88" t="str">
        <f>IFERROR(VLOOKUP(13,Finais!Q:R,2,FALSE),"")</f>
        <v/>
      </c>
    </row>
    <row r="17" spans="2:3" x14ac:dyDescent="0.35">
      <c r="B17" s="87" t="s">
        <v>99</v>
      </c>
      <c r="C17" s="88" t="str">
        <f>IFERROR(VLOOKUP(14,Finais!Q:R,2,FALSE),"")</f>
        <v/>
      </c>
    </row>
    <row r="18" spans="2:3" x14ac:dyDescent="0.35">
      <c r="B18" s="87" t="s">
        <v>100</v>
      </c>
      <c r="C18" s="88" t="str">
        <f>IFERROR(VLOOKUP(15,Finais!Q:R,2,FALSE),"")</f>
        <v/>
      </c>
    </row>
    <row r="19" spans="2:3" x14ac:dyDescent="0.35">
      <c r="B19" s="87" t="s">
        <v>101</v>
      </c>
      <c r="C19" s="88" t="str">
        <f>IFERROR(VLOOKUP(16,Finais!Q:R,2,FALSE),"")</f>
        <v/>
      </c>
    </row>
    <row r="20" spans="2:3" x14ac:dyDescent="0.35">
      <c r="B20" s="87" t="s">
        <v>102</v>
      </c>
      <c r="C20" s="88" t="str">
        <f ca="1">IFERROR(VLOOKUP(17,ClassGrupFases!$C$73:$D$86,2,FALSE),"")</f>
        <v/>
      </c>
    </row>
    <row r="21" spans="2:3" x14ac:dyDescent="0.35">
      <c r="B21" s="87" t="s">
        <v>103</v>
      </c>
      <c r="C21" s="88" t="str">
        <f ca="1">IFERROR(VLOOKUP(18,ClassGrupFases!$C$73:$D$86,2,FALSE),"")</f>
        <v/>
      </c>
    </row>
    <row r="22" spans="2:3" x14ac:dyDescent="0.35">
      <c r="B22" s="87" t="s">
        <v>104</v>
      </c>
      <c r="C22" s="88" t="str">
        <f ca="1">IFERROR(VLOOKUP(19,ClassGrupFases!$C$73:$D$86,2,FALSE),"")</f>
        <v/>
      </c>
    </row>
    <row r="23" spans="2:3" x14ac:dyDescent="0.35">
      <c r="B23" s="87" t="s">
        <v>105</v>
      </c>
      <c r="C23" s="88" t="str">
        <f ca="1">IFERROR(VLOOKUP(20,ClassGrupFases!$C$73:$D$86,2,FALSE),"")</f>
        <v/>
      </c>
    </row>
    <row r="24" spans="2:3" x14ac:dyDescent="0.35">
      <c r="B24" s="87" t="s">
        <v>106</v>
      </c>
      <c r="C24" s="88" t="str">
        <f ca="1">IFERROR(VLOOKUP(21,ClassGrupFases!$C$73:$D$86,2,FALSE),"")</f>
        <v/>
      </c>
    </row>
    <row r="25" spans="2:3" x14ac:dyDescent="0.35">
      <c r="B25" s="87" t="s">
        <v>107</v>
      </c>
      <c r="C25" s="88" t="str">
        <f ca="1">IFERROR(VLOOKUP(22,ClassGrupFases!$C$73:$D$86,2,FALSE),"")</f>
        <v/>
      </c>
    </row>
    <row r="26" spans="2:3" x14ac:dyDescent="0.35">
      <c r="B26" s="87" t="s">
        <v>108</v>
      </c>
      <c r="C26" s="88" t="str">
        <f ca="1">IFERROR(VLOOKUP(23,ClassGrupFases!$C$73:$D$86,2,FALSE),"")</f>
        <v/>
      </c>
    </row>
    <row r="27" spans="2:3" x14ac:dyDescent="0.35">
      <c r="B27" s="87" t="s">
        <v>109</v>
      </c>
      <c r="C27" s="88" t="str">
        <f ca="1">IFERROR(VLOOKUP(24,ClassGrupFases!$C$73:$D$86,2,FALSE),"")</f>
        <v/>
      </c>
    </row>
    <row r="28" spans="2:3" x14ac:dyDescent="0.35">
      <c r="B28" s="87" t="s">
        <v>110</v>
      </c>
      <c r="C28" s="88" t="str">
        <f ca="1">IFERROR(VLOOKUP(25,ClassGrupFases!$C$73:$D$86,2,FALSE),"")</f>
        <v/>
      </c>
    </row>
    <row r="29" spans="2:3" x14ac:dyDescent="0.35">
      <c r="B29" s="87" t="s">
        <v>111</v>
      </c>
      <c r="C29" s="88" t="str">
        <f ca="1">IFERROR(VLOOKUP(26,ClassGrupFases!$C$73:$D$86,2,FALSE),"")</f>
        <v/>
      </c>
    </row>
    <row r="30" spans="2:3" x14ac:dyDescent="0.35">
      <c r="B30" s="87" t="s">
        <v>112</v>
      </c>
      <c r="C30" s="88" t="str">
        <f ca="1">IFERROR(VLOOKUP(27,ClassGrupFases!$C$73:$D$86,2,FALSE),"")</f>
        <v/>
      </c>
    </row>
    <row r="31" spans="2:3" x14ac:dyDescent="0.35">
      <c r="B31" s="87" t="s">
        <v>113</v>
      </c>
      <c r="C31" s="88" t="str">
        <f ca="1">IFERROR(VLOOKUP(28,ClassGrupFases!$C$73:$D$86,2,FALSE),"")</f>
        <v/>
      </c>
    </row>
    <row r="32" spans="2:3" x14ac:dyDescent="0.35">
      <c r="B32" s="87" t="s">
        <v>114</v>
      </c>
      <c r="C32" s="88" t="str">
        <f ca="1">IFERROR(VLOOKUP(29,ClassGrupFases!$C$73:$D$86,2,FALSE),"")</f>
        <v/>
      </c>
    </row>
    <row r="33" spans="2:3" x14ac:dyDescent="0.35">
      <c r="B33" s="87" t="s">
        <v>115</v>
      </c>
      <c r="C33" s="88" t="str">
        <f ca="1">IFERROR(VLOOKUP(30,ClassGrupFases!$C$73:$D$86,2,FALSE),"")</f>
        <v/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Equipes</vt:lpstr>
      <vt:lpstr>Grupos</vt:lpstr>
      <vt:lpstr>Jogos</vt:lpstr>
      <vt:lpstr>ClassGrupFases</vt:lpstr>
      <vt:lpstr>Classificação</vt:lpstr>
      <vt:lpstr>Finais</vt:lpstr>
      <vt:lpstr>Premiação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Jose Jorge Farah Neto</cp:lastModifiedBy>
  <dcterms:created xsi:type="dcterms:W3CDTF">2023-02-11T17:07:58Z</dcterms:created>
  <dcterms:modified xsi:type="dcterms:W3CDTF">2023-02-12T22:19:15Z</dcterms:modified>
</cp:coreProperties>
</file>