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Dadinho\"/>
    </mc:Choice>
  </mc:AlternateContent>
  <bookViews>
    <workbookView xWindow="-120" yWindow="-120" windowWidth="20730" windowHeight="11760" tabRatio="500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  <sheet name="Finais" sheetId="6" r:id="rId6"/>
    <sheet name="Premiação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2" i="6" l="1"/>
  <c r="AE12" i="6"/>
  <c r="AB12" i="6"/>
  <c r="Y12" i="6"/>
  <c r="X12" i="6"/>
  <c r="AD9" i="6"/>
  <c r="AE9" i="6"/>
  <c r="AB9" i="6"/>
  <c r="Z9" i="6"/>
  <c r="W9" i="6"/>
  <c r="AD6" i="6"/>
  <c r="AE6" i="6"/>
  <c r="AB6" i="6"/>
  <c r="AD5" i="6"/>
  <c r="AE5" i="6"/>
  <c r="AB5" i="6"/>
  <c r="Y5" i="6"/>
  <c r="X5" i="6"/>
  <c r="L11" i="6"/>
  <c r="L8" i="6"/>
  <c r="L4" i="6"/>
  <c r="D27" i="4"/>
  <c r="D26" i="4"/>
  <c r="D25" i="4"/>
  <c r="D24" i="4"/>
  <c r="D21" i="4"/>
  <c r="D20" i="4"/>
  <c r="D19" i="4"/>
  <c r="D18" i="4"/>
  <c r="D15" i="4"/>
  <c r="D14" i="4"/>
  <c r="D13" i="4"/>
  <c r="D12" i="4"/>
  <c r="D9" i="4"/>
  <c r="D8" i="4"/>
  <c r="D7" i="4"/>
  <c r="D6" i="4"/>
  <c r="V29" i="3"/>
  <c r="W29" i="3"/>
  <c r="T29" i="3"/>
  <c r="R29" i="3"/>
  <c r="O29" i="3"/>
  <c r="F29" i="3"/>
  <c r="U29" i="3" s="1"/>
  <c r="B29" i="3"/>
  <c r="P29" i="3" s="1"/>
  <c r="V28" i="3"/>
  <c r="W28" i="3"/>
  <c r="T28" i="3"/>
  <c r="Q28" i="3"/>
  <c r="P28" i="3"/>
  <c r="F28" i="3"/>
  <c r="N28" i="3" s="1"/>
  <c r="B28" i="3"/>
  <c r="S28" i="3" s="1"/>
  <c r="V27" i="3"/>
  <c r="W27" i="3"/>
  <c r="T27" i="3"/>
  <c r="Q27" i="3"/>
  <c r="P27" i="3"/>
  <c r="F27" i="3"/>
  <c r="R27" i="3" s="1"/>
  <c r="B27" i="3"/>
  <c r="S27" i="3" s="1"/>
  <c r="V26" i="3"/>
  <c r="W26" i="3"/>
  <c r="T26" i="3"/>
  <c r="Q26" i="3"/>
  <c r="P26" i="3"/>
  <c r="F26" i="3"/>
  <c r="R26" i="3" s="1"/>
  <c r="B26" i="3"/>
  <c r="M26" i="3" s="1"/>
  <c r="V25" i="3"/>
  <c r="W25" i="3"/>
  <c r="T25" i="3"/>
  <c r="Q25" i="3"/>
  <c r="P25" i="3"/>
  <c r="F25" i="3"/>
  <c r="O25" i="3" s="1"/>
  <c r="B25" i="3"/>
  <c r="S25" i="3" s="1"/>
  <c r="V24" i="3"/>
  <c r="W24" i="3"/>
  <c r="T24" i="3"/>
  <c r="Q24" i="3"/>
  <c r="P24" i="3"/>
  <c r="F24" i="3"/>
  <c r="N24" i="3" s="1"/>
  <c r="B24" i="3"/>
  <c r="S24" i="3" s="1"/>
  <c r="V23" i="3"/>
  <c r="W23" i="3"/>
  <c r="T23" i="3"/>
  <c r="Q23" i="3"/>
  <c r="P23" i="3"/>
  <c r="F23" i="3"/>
  <c r="U23" i="3" s="1"/>
  <c r="B23" i="3"/>
  <c r="S23" i="3" s="1"/>
  <c r="V22" i="3"/>
  <c r="W22" i="3"/>
  <c r="T22" i="3"/>
  <c r="Q22" i="3"/>
  <c r="P22" i="3"/>
  <c r="S22" i="3"/>
  <c r="F22" i="3"/>
  <c r="U22" i="3" s="1"/>
  <c r="B22" i="3"/>
  <c r="R22" i="3" s="1"/>
  <c r="K21" i="3"/>
  <c r="V20" i="3"/>
  <c r="W20" i="3"/>
  <c r="T20" i="3"/>
  <c r="Q20" i="3"/>
  <c r="P20" i="3"/>
  <c r="F20" i="3"/>
  <c r="N20" i="3" s="1"/>
  <c r="B20" i="3"/>
  <c r="S20" i="3" s="1"/>
  <c r="V19" i="3"/>
  <c r="W19" i="3"/>
  <c r="T19" i="3"/>
  <c r="Q19" i="3"/>
  <c r="P19" i="3"/>
  <c r="F19" i="3"/>
  <c r="U19" i="3" s="1"/>
  <c r="B19" i="3"/>
  <c r="S19" i="3" s="1"/>
  <c r="V18" i="3"/>
  <c r="W18" i="3"/>
  <c r="T18" i="3"/>
  <c r="Q18" i="3"/>
  <c r="P18" i="3"/>
  <c r="F18" i="3"/>
  <c r="R18" i="3" s="1"/>
  <c r="B18" i="3"/>
  <c r="O18" i="3" s="1"/>
  <c r="V17" i="3"/>
  <c r="W17" i="3"/>
  <c r="T17" i="3"/>
  <c r="Q17" i="3"/>
  <c r="P17" i="3"/>
  <c r="F17" i="3"/>
  <c r="O17" i="3" s="1"/>
  <c r="B17" i="3"/>
  <c r="S17" i="3" s="1"/>
  <c r="V16" i="3"/>
  <c r="W16" i="3"/>
  <c r="T16" i="3"/>
  <c r="Q16" i="3"/>
  <c r="P16" i="3"/>
  <c r="F16" i="3"/>
  <c r="N16" i="3" s="1"/>
  <c r="B16" i="3"/>
  <c r="S16" i="3" s="1"/>
  <c r="V15" i="3"/>
  <c r="W15" i="3"/>
  <c r="T15" i="3"/>
  <c r="Q15" i="3"/>
  <c r="P15" i="3"/>
  <c r="F15" i="3"/>
  <c r="U15" i="3" s="1"/>
  <c r="B15" i="3"/>
  <c r="S15" i="3" s="1"/>
  <c r="V14" i="3"/>
  <c r="W14" i="3"/>
  <c r="T14" i="3"/>
  <c r="Q14" i="3"/>
  <c r="P14" i="3"/>
  <c r="F14" i="3"/>
  <c r="U14" i="3" s="1"/>
  <c r="B14" i="3"/>
  <c r="R14" i="3" s="1"/>
  <c r="V13" i="3"/>
  <c r="W13" i="3"/>
  <c r="T13" i="3"/>
  <c r="Q13" i="3"/>
  <c r="P13" i="3"/>
  <c r="F13" i="3"/>
  <c r="R13" i="3" s="1"/>
  <c r="B13" i="3"/>
  <c r="S13" i="3" s="1"/>
  <c r="K12" i="3"/>
  <c r="V11" i="3"/>
  <c r="W11" i="3"/>
  <c r="T11" i="3"/>
  <c r="R11" i="3"/>
  <c r="O11" i="3"/>
  <c r="F11" i="3"/>
  <c r="U11" i="3" s="1"/>
  <c r="B11" i="3"/>
  <c r="P11" i="3" s="1"/>
  <c r="V10" i="3"/>
  <c r="W10" i="3"/>
  <c r="T10" i="3"/>
  <c r="Q10" i="3"/>
  <c r="P10" i="3"/>
  <c r="F10" i="3"/>
  <c r="U10" i="3" s="1"/>
  <c r="B10" i="3"/>
  <c r="R10" i="3" s="1"/>
  <c r="V9" i="3"/>
  <c r="W9" i="3"/>
  <c r="T9" i="3"/>
  <c r="Q9" i="3"/>
  <c r="P9" i="3"/>
  <c r="F9" i="3"/>
  <c r="O9" i="3" s="1"/>
  <c r="B9" i="3"/>
  <c r="S9" i="3" s="1"/>
  <c r="V8" i="3"/>
  <c r="W8" i="3"/>
  <c r="T8" i="3"/>
  <c r="Q8" i="3"/>
  <c r="P8" i="3"/>
  <c r="F8" i="3"/>
  <c r="N8" i="3" s="1"/>
  <c r="B8" i="3"/>
  <c r="S8" i="3" s="1"/>
  <c r="V7" i="3"/>
  <c r="W7" i="3"/>
  <c r="T7" i="3"/>
  <c r="Q7" i="3"/>
  <c r="P7" i="3"/>
  <c r="F7" i="3"/>
  <c r="U7" i="3" s="1"/>
  <c r="B7" i="3"/>
  <c r="S7" i="3" s="1"/>
  <c r="V6" i="3"/>
  <c r="W6" i="3"/>
  <c r="T6" i="3"/>
  <c r="Q6" i="3"/>
  <c r="P6" i="3"/>
  <c r="F6" i="3"/>
  <c r="R6" i="3" s="1"/>
  <c r="B6" i="3"/>
  <c r="O6" i="3" s="1"/>
  <c r="V5" i="3"/>
  <c r="W5" i="3"/>
  <c r="T5" i="3"/>
  <c r="Q5" i="3"/>
  <c r="P5" i="3"/>
  <c r="F5" i="3"/>
  <c r="R5" i="3" s="1"/>
  <c r="B5" i="3"/>
  <c r="S5" i="3" s="1"/>
  <c r="V4" i="3"/>
  <c r="W4" i="3"/>
  <c r="T4" i="3"/>
  <c r="R4" i="3"/>
  <c r="O4" i="3"/>
  <c r="F4" i="3"/>
  <c r="Q4" i="3" s="1"/>
  <c r="B4" i="3"/>
  <c r="P4" i="3" s="1"/>
  <c r="B25" i="2"/>
  <c r="B24" i="2"/>
  <c r="B23" i="2"/>
  <c r="B22" i="2"/>
  <c r="B19" i="2"/>
  <c r="B18" i="2"/>
  <c r="B17" i="2"/>
  <c r="B16" i="2"/>
  <c r="B13" i="2"/>
  <c r="B12" i="2"/>
  <c r="B11" i="2"/>
  <c r="B10" i="2"/>
  <c r="B7" i="2"/>
  <c r="B6" i="2"/>
  <c r="B5" i="2"/>
  <c r="B4" i="2"/>
  <c r="S18" i="3" l="1"/>
  <c r="N5" i="3"/>
  <c r="M6" i="3"/>
  <c r="N13" i="3"/>
  <c r="O14" i="3"/>
  <c r="O15" i="3"/>
  <c r="M15" i="3"/>
  <c r="M27" i="3"/>
  <c r="N25" i="3"/>
  <c r="S10" i="3"/>
  <c r="M11" i="3"/>
  <c r="M18" i="3"/>
  <c r="M22" i="3"/>
  <c r="S6" i="3"/>
  <c r="O10" i="3"/>
  <c r="N17" i="3"/>
  <c r="S26" i="3"/>
  <c r="R28" i="3"/>
  <c r="Q29" i="3"/>
  <c r="M7" i="3"/>
  <c r="R7" i="3"/>
  <c r="M14" i="3"/>
  <c r="O26" i="3"/>
  <c r="O7" i="3"/>
  <c r="N9" i="3"/>
  <c r="M10" i="3"/>
  <c r="S14" i="3"/>
  <c r="M19" i="3"/>
  <c r="R19" i="3"/>
  <c r="O22" i="3"/>
  <c r="M23" i="3"/>
  <c r="R23" i="3"/>
  <c r="O27" i="3"/>
  <c r="N29" i="3"/>
  <c r="R15" i="3"/>
  <c r="O19" i="3"/>
  <c r="O23" i="3"/>
  <c r="R8" i="3"/>
  <c r="R20" i="3"/>
  <c r="U24" i="3"/>
  <c r="R24" i="3"/>
  <c r="U28" i="3"/>
  <c r="M4" i="3"/>
  <c r="G25" i="4" s="1"/>
  <c r="U5" i="3"/>
  <c r="N6" i="3"/>
  <c r="M8" i="3"/>
  <c r="O8" i="3"/>
  <c r="U9" i="3"/>
  <c r="R9" i="3"/>
  <c r="N10" i="3"/>
  <c r="S11" i="3"/>
  <c r="U13" i="3"/>
  <c r="N14" i="3"/>
  <c r="M16" i="3"/>
  <c r="O16" i="3"/>
  <c r="U17" i="3"/>
  <c r="R17" i="3"/>
  <c r="N18" i="3"/>
  <c r="M20" i="3"/>
  <c r="O20" i="3"/>
  <c r="N22" i="3"/>
  <c r="M24" i="3"/>
  <c r="O24" i="3"/>
  <c r="U25" i="3"/>
  <c r="R25" i="3"/>
  <c r="N26" i="3"/>
  <c r="M28" i="3"/>
  <c r="O28" i="3"/>
  <c r="U4" i="3"/>
  <c r="U16" i="3"/>
  <c r="U20" i="3"/>
  <c r="S4" i="3"/>
  <c r="K14" i="4" s="1"/>
  <c r="M5" i="3"/>
  <c r="O5" i="3"/>
  <c r="U6" i="3"/>
  <c r="N7" i="3"/>
  <c r="M9" i="3"/>
  <c r="N11" i="3"/>
  <c r="Q11" i="3"/>
  <c r="I19" i="4" s="1"/>
  <c r="M13" i="3"/>
  <c r="O13" i="3"/>
  <c r="N15" i="3"/>
  <c r="M17" i="3"/>
  <c r="U18" i="3"/>
  <c r="N19" i="3"/>
  <c r="N23" i="3"/>
  <c r="M25" i="3"/>
  <c r="U26" i="3"/>
  <c r="N27" i="3"/>
  <c r="M29" i="3"/>
  <c r="U8" i="3"/>
  <c r="R16" i="3"/>
  <c r="J27" i="4" s="1"/>
  <c r="N4" i="3"/>
  <c r="U27" i="3"/>
  <c r="S29" i="3"/>
  <c r="I24" i="4"/>
  <c r="I6" i="4"/>
  <c r="I9" i="4"/>
  <c r="I8" i="4"/>
  <c r="I26" i="4"/>
  <c r="I7" i="4"/>
  <c r="I15" i="4"/>
  <c r="I21" i="4"/>
  <c r="I18" i="4" l="1"/>
  <c r="I14" i="4"/>
  <c r="L20" i="4"/>
  <c r="I25" i="4"/>
  <c r="F25" i="4" s="1"/>
  <c r="E25" i="4" s="1"/>
  <c r="I27" i="4"/>
  <c r="I12" i="4"/>
  <c r="I20" i="4"/>
  <c r="F20" i="4" s="1"/>
  <c r="E20" i="4" s="1"/>
  <c r="I13" i="4"/>
  <c r="G24" i="4"/>
  <c r="H12" i="4"/>
  <c r="K27" i="4"/>
  <c r="J18" i="4"/>
  <c r="J9" i="4"/>
  <c r="L7" i="4"/>
  <c r="L14" i="4"/>
  <c r="M14" i="4" s="1"/>
  <c r="J7" i="4"/>
  <c r="L6" i="4"/>
  <c r="H20" i="4"/>
  <c r="J21" i="4"/>
  <c r="K19" i="4"/>
  <c r="H26" i="4"/>
  <c r="F26" i="4" s="1"/>
  <c r="L15" i="4"/>
  <c r="H18" i="4"/>
  <c r="L19" i="4"/>
  <c r="H8" i="4"/>
  <c r="H13" i="4"/>
  <c r="J24" i="4"/>
  <c r="H27" i="4"/>
  <c r="K6" i="4"/>
  <c r="G9" i="4"/>
  <c r="L26" i="4"/>
  <c r="L27" i="4"/>
  <c r="G13" i="4"/>
  <c r="J6" i="4"/>
  <c r="G15" i="4"/>
  <c r="L8" i="4"/>
  <c r="H6" i="4"/>
  <c r="L24" i="4"/>
  <c r="G20" i="4"/>
  <c r="G18" i="4"/>
  <c r="J12" i="4"/>
  <c r="G8" i="4"/>
  <c r="G6" i="4"/>
  <c r="K15" i="4"/>
  <c r="H9" i="4"/>
  <c r="J14" i="4"/>
  <c r="H24" i="4"/>
  <c r="F24" i="4" s="1"/>
  <c r="E24" i="4" s="1"/>
  <c r="J25" i="4"/>
  <c r="H25" i="4"/>
  <c r="J19" i="4"/>
  <c r="G26" i="4"/>
  <c r="E26" i="4" s="1"/>
  <c r="G27" i="4"/>
  <c r="K21" i="4"/>
  <c r="K18" i="4"/>
  <c r="H14" i="4"/>
  <c r="F14" i="4" s="1"/>
  <c r="E14" i="4" s="1"/>
  <c r="L13" i="4"/>
  <c r="K7" i="4"/>
  <c r="M7" i="4" s="1"/>
  <c r="K24" i="4"/>
  <c r="M24" i="4" s="1"/>
  <c r="H19" i="4"/>
  <c r="F19" i="4" s="1"/>
  <c r="H15" i="4"/>
  <c r="F15" i="4" s="1"/>
  <c r="J15" i="4"/>
  <c r="K20" i="4"/>
  <c r="L9" i="4"/>
  <c r="K8" i="4"/>
  <c r="M8" i="4" s="1"/>
  <c r="K12" i="4"/>
  <c r="K25" i="4"/>
  <c r="J26" i="4"/>
  <c r="J20" i="4"/>
  <c r="J8" i="4"/>
  <c r="L25" i="4"/>
  <c r="M25" i="4" s="1"/>
  <c r="J13" i="4"/>
  <c r="K26" i="4"/>
  <c r="H21" i="4"/>
  <c r="G14" i="4"/>
  <c r="G12" i="4"/>
  <c r="G21" i="4"/>
  <c r="L18" i="4"/>
  <c r="K9" i="4"/>
  <c r="H7" i="4"/>
  <c r="F7" i="4" s="1"/>
  <c r="G19" i="4"/>
  <c r="K13" i="4"/>
  <c r="G7" i="4"/>
  <c r="L12" i="4"/>
  <c r="L21" i="4"/>
  <c r="M21" i="4" s="1"/>
  <c r="F27" i="4"/>
  <c r="E27" i="4" s="1"/>
  <c r="F21" i="4"/>
  <c r="F12" i="4"/>
  <c r="F18" i="4"/>
  <c r="E18" i="4" s="1"/>
  <c r="F8" i="4"/>
  <c r="F6" i="4"/>
  <c r="F9" i="4"/>
  <c r="M15" i="4" l="1"/>
  <c r="M27" i="4"/>
  <c r="N27" i="4" s="1"/>
  <c r="F13" i="4"/>
  <c r="M20" i="4"/>
  <c r="N20" i="4" s="1"/>
  <c r="M13" i="4"/>
  <c r="M19" i="4"/>
  <c r="M12" i="4"/>
  <c r="P12" i="4" s="1"/>
  <c r="E6" i="4"/>
  <c r="S2" i="4"/>
  <c r="R2" i="6" s="1"/>
  <c r="M9" i="4"/>
  <c r="N9" i="4" s="1"/>
  <c r="M18" i="4"/>
  <c r="N18" i="4" s="1"/>
  <c r="M26" i="4"/>
  <c r="N26" i="4" s="1"/>
  <c r="E15" i="4"/>
  <c r="P15" i="4" s="1"/>
  <c r="E9" i="4"/>
  <c r="E12" i="4"/>
  <c r="N12" i="4" s="1"/>
  <c r="E13" i="4"/>
  <c r="M6" i="4"/>
  <c r="N6" i="4" s="1"/>
  <c r="E8" i="4"/>
  <c r="P8" i="4" s="1"/>
  <c r="E7" i="4"/>
  <c r="P7" i="4" s="1"/>
  <c r="N14" i="4"/>
  <c r="E21" i="4"/>
  <c r="N21" i="4" s="1"/>
  <c r="E19" i="4"/>
  <c r="P19" i="4" s="1"/>
  <c r="N25" i="4"/>
  <c r="P27" i="4"/>
  <c r="P14" i="4"/>
  <c r="P20" i="4"/>
  <c r="P25" i="4"/>
  <c r="P24" i="4"/>
  <c r="N24" i="4"/>
  <c r="P9" i="4" l="1"/>
  <c r="N8" i="4"/>
  <c r="N15" i="4"/>
  <c r="N13" i="4"/>
  <c r="C15" i="4" s="1"/>
  <c r="A15" i="4" s="1"/>
  <c r="P26" i="4"/>
  <c r="Q24" i="4" s="1"/>
  <c r="P6" i="4"/>
  <c r="Q9" i="4" s="1"/>
  <c r="P18" i="4"/>
  <c r="N7" i="4"/>
  <c r="C9" i="4" s="1"/>
  <c r="A9" i="4" s="1"/>
  <c r="P13" i="4"/>
  <c r="Q14" i="4" s="1"/>
  <c r="P21" i="4"/>
  <c r="C27" i="4"/>
  <c r="A27" i="4" s="1"/>
  <c r="C25" i="4"/>
  <c r="A25" i="4" s="1"/>
  <c r="C26" i="4"/>
  <c r="A26" i="4" s="1"/>
  <c r="C24" i="4"/>
  <c r="C13" i="4"/>
  <c r="A13" i="4" s="1"/>
  <c r="N19" i="4"/>
  <c r="C19" i="4" s="1"/>
  <c r="A19" i="4" s="1"/>
  <c r="C12" i="4" l="1"/>
  <c r="C14" i="4"/>
  <c r="A14" i="4" s="1"/>
  <c r="Q20" i="4"/>
  <c r="Q6" i="4"/>
  <c r="Q25" i="4"/>
  <c r="B24" i="5" s="1"/>
  <c r="Q27" i="4"/>
  <c r="B23" i="5" s="1"/>
  <c r="Q8" i="4"/>
  <c r="C6" i="4"/>
  <c r="F6" i="5" s="1"/>
  <c r="Q7" i="4"/>
  <c r="Q26" i="4"/>
  <c r="B22" i="5" s="1"/>
  <c r="C8" i="4"/>
  <c r="A8" i="4" s="1"/>
  <c r="C7" i="4"/>
  <c r="A7" i="4" s="1"/>
  <c r="Q13" i="4"/>
  <c r="B13" i="5" s="1"/>
  <c r="Q12" i="4"/>
  <c r="B10" i="5" s="1"/>
  <c r="Q15" i="4"/>
  <c r="B11" i="5" s="1"/>
  <c r="Q18" i="4"/>
  <c r="Q19" i="4"/>
  <c r="Q21" i="4"/>
  <c r="E25" i="5"/>
  <c r="M23" i="5"/>
  <c r="I22" i="5"/>
  <c r="D25" i="5"/>
  <c r="L23" i="5"/>
  <c r="H22" i="5"/>
  <c r="G24" i="5"/>
  <c r="J25" i="5"/>
  <c r="C24" i="5"/>
  <c r="J24" i="5"/>
  <c r="A24" i="4"/>
  <c r="M24" i="5"/>
  <c r="I23" i="5"/>
  <c r="E22" i="5"/>
  <c r="L24" i="5"/>
  <c r="H23" i="5"/>
  <c r="D22" i="5"/>
  <c r="K23" i="5"/>
  <c r="B25" i="5"/>
  <c r="F22" i="5"/>
  <c r="G23" i="5"/>
  <c r="F25" i="5"/>
  <c r="I25" i="5"/>
  <c r="M22" i="5"/>
  <c r="H25" i="5"/>
  <c r="L22" i="5"/>
  <c r="C25" i="5"/>
  <c r="J23" i="5"/>
  <c r="C22" i="5"/>
  <c r="M25" i="5"/>
  <c r="I24" i="5"/>
  <c r="E23" i="5"/>
  <c r="L25" i="5"/>
  <c r="H24" i="5"/>
  <c r="D23" i="5"/>
  <c r="K25" i="5"/>
  <c r="C23" i="5"/>
  <c r="F24" i="5"/>
  <c r="G25" i="5"/>
  <c r="K22" i="5"/>
  <c r="J22" i="5"/>
  <c r="E24" i="5"/>
  <c r="D24" i="5"/>
  <c r="G22" i="5"/>
  <c r="K24" i="5"/>
  <c r="F23" i="5"/>
  <c r="C20" i="4"/>
  <c r="A20" i="4" s="1"/>
  <c r="C21" i="4"/>
  <c r="A21" i="4" s="1"/>
  <c r="C18" i="4"/>
  <c r="J6" i="5"/>
  <c r="I13" i="5"/>
  <c r="E12" i="5"/>
  <c r="M10" i="5"/>
  <c r="H13" i="5"/>
  <c r="D12" i="5"/>
  <c r="L10" i="5"/>
  <c r="C13" i="5"/>
  <c r="G10" i="5"/>
  <c r="J11" i="5"/>
  <c r="K12" i="5"/>
  <c r="C10" i="5"/>
  <c r="J10" i="5"/>
  <c r="E13" i="5"/>
  <c r="M11" i="5"/>
  <c r="I10" i="5"/>
  <c r="D13" i="5"/>
  <c r="L11" i="5"/>
  <c r="H10" i="5"/>
  <c r="G12" i="5"/>
  <c r="J13" i="5"/>
  <c r="C12" i="5"/>
  <c r="J12" i="5"/>
  <c r="F11" i="5"/>
  <c r="M13" i="5"/>
  <c r="L13" i="5"/>
  <c r="K13" i="5"/>
  <c r="F12" i="5"/>
  <c r="K10" i="5"/>
  <c r="A12" i="4"/>
  <c r="M12" i="5"/>
  <c r="I11" i="5"/>
  <c r="E10" i="5"/>
  <c r="L12" i="5"/>
  <c r="H11" i="5"/>
  <c r="D10" i="5"/>
  <c r="K11" i="5"/>
  <c r="F10" i="5"/>
  <c r="G11" i="5"/>
  <c r="F13" i="5"/>
  <c r="I12" i="5"/>
  <c r="E11" i="5"/>
  <c r="H12" i="5"/>
  <c r="D11" i="5"/>
  <c r="C11" i="5"/>
  <c r="G13" i="5"/>
  <c r="B12" i="5"/>
  <c r="I6" i="5"/>
  <c r="J4" i="5" l="1"/>
  <c r="E6" i="5"/>
  <c r="D4" i="5"/>
  <c r="H4" i="5"/>
  <c r="E4" i="5"/>
  <c r="B4" i="5"/>
  <c r="M6" i="5"/>
  <c r="H6" i="5"/>
  <c r="G6" i="5"/>
  <c r="C6" i="5"/>
  <c r="J5" i="5"/>
  <c r="M4" i="5"/>
  <c r="L4" i="5"/>
  <c r="A6" i="4"/>
  <c r="E30" i="4" s="1"/>
  <c r="I4" i="5"/>
  <c r="C4" i="5"/>
  <c r="L6" i="5"/>
  <c r="K6" i="5"/>
  <c r="D5" i="5"/>
  <c r="B6" i="5"/>
  <c r="D6" i="5"/>
  <c r="K4" i="5"/>
  <c r="G4" i="5"/>
  <c r="F4" i="5"/>
  <c r="E7" i="5"/>
  <c r="G5" i="5"/>
  <c r="F7" i="5"/>
  <c r="K7" i="5"/>
  <c r="C7" i="5"/>
  <c r="E5" i="5"/>
  <c r="B7" i="5"/>
  <c r="C5" i="5"/>
  <c r="B5" i="5"/>
  <c r="H7" i="5"/>
  <c r="J7" i="5"/>
  <c r="F5" i="5"/>
  <c r="M5" i="5"/>
  <c r="K5" i="5"/>
  <c r="I5" i="5"/>
  <c r="H5" i="5"/>
  <c r="G7" i="5"/>
  <c r="L7" i="5"/>
  <c r="M7" i="5"/>
  <c r="L5" i="5"/>
  <c r="I7" i="5"/>
  <c r="D7" i="5"/>
  <c r="M19" i="5"/>
  <c r="I18" i="5"/>
  <c r="E17" i="5"/>
  <c r="L19" i="5"/>
  <c r="H18" i="5"/>
  <c r="D17" i="5"/>
  <c r="K19" i="5"/>
  <c r="C17" i="5"/>
  <c r="F18" i="5"/>
  <c r="G19" i="5"/>
  <c r="K16" i="5"/>
  <c r="J16" i="5"/>
  <c r="B16" i="5"/>
  <c r="I19" i="5"/>
  <c r="E18" i="5"/>
  <c r="M16" i="5"/>
  <c r="H19" i="5"/>
  <c r="D18" i="5"/>
  <c r="L16" i="5"/>
  <c r="C19" i="5"/>
  <c r="G16" i="5"/>
  <c r="J17" i="5"/>
  <c r="K18" i="5"/>
  <c r="C16" i="5"/>
  <c r="A18" i="4"/>
  <c r="E48" i="4" s="1"/>
  <c r="I17" i="5"/>
  <c r="K17" i="5"/>
  <c r="F16" i="5"/>
  <c r="F19" i="5"/>
  <c r="E19" i="5"/>
  <c r="M17" i="5"/>
  <c r="I16" i="5"/>
  <c r="D19" i="5"/>
  <c r="L17" i="5"/>
  <c r="H16" i="5"/>
  <c r="G18" i="5"/>
  <c r="J19" i="5"/>
  <c r="B17" i="5"/>
  <c r="C18" i="5"/>
  <c r="F17" i="5"/>
  <c r="B18" i="5"/>
  <c r="M18" i="5"/>
  <c r="E16" i="5"/>
  <c r="L18" i="5"/>
  <c r="H17" i="5"/>
  <c r="D16" i="5"/>
  <c r="B19" i="5"/>
  <c r="G17" i="5"/>
  <c r="J18" i="5"/>
  <c r="D30" i="4"/>
  <c r="E37" i="4" l="1"/>
  <c r="E39" i="4"/>
  <c r="D39" i="4"/>
  <c r="D38" i="4"/>
  <c r="D40" i="4"/>
  <c r="D41" i="4"/>
  <c r="E40" i="4"/>
  <c r="E42" i="4"/>
  <c r="D31" i="4"/>
  <c r="E31" i="4"/>
  <c r="E41" i="4"/>
  <c r="D42" i="4"/>
  <c r="D37" i="4"/>
  <c r="E38" i="4"/>
  <c r="D44" i="4"/>
  <c r="E45" i="4"/>
  <c r="E43" i="4"/>
  <c r="D32" i="4"/>
  <c r="D48" i="4"/>
  <c r="D43" i="4"/>
  <c r="D33" i="4"/>
  <c r="E32" i="4"/>
  <c r="E46" i="4"/>
  <c r="D46" i="4"/>
  <c r="E47" i="4"/>
  <c r="E33" i="4"/>
  <c r="D47" i="4"/>
  <c r="E44" i="4"/>
  <c r="D45" i="4"/>
  <c r="C33" i="4" l="1"/>
  <c r="C40" i="4"/>
  <c r="C48" i="4"/>
  <c r="C30" i="4"/>
  <c r="C47" i="4"/>
  <c r="C46" i="4"/>
  <c r="C37" i="4"/>
  <c r="C41" i="4"/>
  <c r="C39" i="4"/>
  <c r="C43" i="4"/>
  <c r="C42" i="4"/>
  <c r="C44" i="4"/>
  <c r="C38" i="4"/>
  <c r="C45" i="4"/>
  <c r="C31" i="4"/>
  <c r="C32" i="4"/>
  <c r="B6" i="6" l="1"/>
  <c r="W6" i="6" s="1"/>
  <c r="F6" i="6"/>
  <c r="Z6" i="6" s="1"/>
  <c r="F5" i="6"/>
  <c r="B5" i="6"/>
  <c r="C11" i="7"/>
  <c r="C9" i="7"/>
  <c r="C16" i="7"/>
  <c r="C17" i="7"/>
  <c r="C10" i="7"/>
  <c r="C18" i="7"/>
  <c r="C14" i="7"/>
  <c r="C13" i="7"/>
  <c r="C8" i="7"/>
  <c r="C19" i="7"/>
  <c r="C12" i="7"/>
  <c r="C15" i="7"/>
  <c r="R6" i="6" l="1"/>
  <c r="S6" i="6" s="1"/>
  <c r="Y6" i="6"/>
  <c r="U6" i="6"/>
  <c r="AC6" i="6"/>
  <c r="N6" i="6"/>
  <c r="O6" i="6" s="1"/>
  <c r="X6" i="6"/>
  <c r="AA6" i="6"/>
  <c r="Z5" i="6"/>
  <c r="AC5" i="6"/>
  <c r="R5" i="6"/>
  <c r="S5" i="6" s="1"/>
  <c r="U5" i="6"/>
  <c r="W5" i="6"/>
  <c r="N5" i="6"/>
  <c r="O5" i="6" s="1"/>
  <c r="M5" i="6" s="1"/>
  <c r="AA5" i="6"/>
  <c r="Q5" i="6" l="1"/>
  <c r="M6" i="6"/>
  <c r="Q6" i="6"/>
  <c r="B9" i="6" s="1"/>
  <c r="F9" i="6"/>
  <c r="F12" i="6"/>
  <c r="B12" i="6"/>
  <c r="N9" i="6" l="1"/>
  <c r="X9" i="6"/>
  <c r="AA9" i="6"/>
  <c r="AC9" i="6"/>
  <c r="R9" i="6"/>
  <c r="Y9" i="6"/>
  <c r="U9" i="6"/>
  <c r="R12" i="6"/>
  <c r="S12" i="6" s="1"/>
  <c r="Q12" i="6" s="1"/>
  <c r="AA12" i="6"/>
  <c r="Z12" i="6"/>
  <c r="U12" i="6"/>
  <c r="N12" i="6"/>
  <c r="O12" i="6" s="1"/>
  <c r="M12" i="6" s="1"/>
  <c r="W12" i="6"/>
  <c r="AC12" i="6"/>
  <c r="C5" i="7"/>
  <c r="C4" i="7" l="1"/>
  <c r="S9" i="6"/>
  <c r="Q9" i="6" s="1"/>
  <c r="C7" i="7"/>
  <c r="O9" i="6"/>
  <c r="M9" i="6" s="1"/>
  <c r="C6" i="7"/>
</calcChain>
</file>

<file path=xl/sharedStrings.xml><?xml version="1.0" encoding="utf-8"?>
<sst xmlns="http://schemas.openxmlformats.org/spreadsheetml/2006/main" count="335" uniqueCount="99">
  <si>
    <t>1° ETAPA DADINHO FPFM 2023 - 12/02/2023 - Equipes</t>
  </si>
  <si>
    <t>JJFUTMESA - jjoliveirajr@jjfutmesa.com.br</t>
  </si>
  <si>
    <t>1° ETAPA DADINHO FPFM 2023 - 12/02/2023 - Grupos</t>
  </si>
  <si>
    <t>Grupo A</t>
  </si>
  <si>
    <t>Grupo B</t>
  </si>
  <si>
    <t>Grupo C</t>
  </si>
  <si>
    <t>Grupo D</t>
  </si>
  <si>
    <t>1° ETAPA DADINHO FPFM 2023 - 12/02/2023 -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</si>
  <si>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</si>
  <si>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</si>
  <si>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</si>
  <si>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</si>
  <si>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</si>
  <si>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</si>
  <si>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</si>
  <si>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</si>
  <si>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</si>
  <si>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</si>
  <si>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</si>
  <si>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</si>
  <si>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</si>
  <si>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</si>
  <si>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</si>
  <si>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B</t>
  </si>
  <si>
    <t>C</t>
  </si>
  <si>
    <t>2ª rodada</t>
  </si>
  <si>
    <t>3ª rodada</t>
  </si>
  <si>
    <t>1° ETAPA DADINHO FPFM 2023 - 12/02/2023 -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</si>
  <si>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</si>
  <si>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</si>
  <si>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</si>
  <si>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</si>
  <si>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</si>
  <si>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</si>
  <si>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</si>
  <si>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</si>
  <si>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</si>
  <si>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1° ETAPA DADINHO FPFM 2023 - 12/02/2023 - Classificação</t>
  </si>
  <si>
    <t>IN</t>
  </si>
  <si>
    <t>1A</t>
  </si>
  <si>
    <t>1B</t>
  </si>
  <si>
    <t>1C</t>
  </si>
  <si>
    <t>1D</t>
  </si>
  <si>
    <t>OUT</t>
  </si>
  <si>
    <t>2A</t>
  </si>
  <si>
    <t>3A</t>
  </si>
  <si>
    <t>4A</t>
  </si>
  <si>
    <t>2B</t>
  </si>
  <si>
    <t>3B</t>
  </si>
  <si>
    <t>4B</t>
  </si>
  <si>
    <t>2C</t>
  </si>
  <si>
    <t>3C</t>
  </si>
  <si>
    <t>4C</t>
  </si>
  <si>
    <t>2D</t>
  </si>
  <si>
    <t>3D</t>
  </si>
  <si>
    <t>4D</t>
  </si>
  <si>
    <t>1° ETAPA DADINHO FPFM 2023 - 12/02/2023 - FINAIS</t>
  </si>
  <si>
    <t>CHECK</t>
  </si>
  <si>
    <t>Semifinais</t>
  </si>
  <si>
    <t>RODADA ÚNICA</t>
  </si>
  <si>
    <t>MESA</t>
  </si>
  <si>
    <t>PASSA</t>
  </si>
  <si>
    <t>NÃO PASSA</t>
  </si>
  <si>
    <t>Disputa de 3º lugar</t>
  </si>
  <si>
    <t>Final</t>
  </si>
  <si>
    <t>CLASSIFICAÇÃO FINAL</t>
  </si>
  <si>
    <t>1° ETAPA DADINHO FPFM 2023 - 12/02/2023 - Premiação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</si>
  <si>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</si>
  <si>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</si>
  <si>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</si>
  <si>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</si>
  <si>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</si>
  <si>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</si>
  <si>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</si>
  <si>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</si>
  <si>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</si>
  <si>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</si>
  <si>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</si>
  <si>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</si>
  <si>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</si>
  <si>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</si>
  <si>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</si>
  <si>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</si>
  <si>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Luiz Coelho</t>
  </si>
  <si>
    <t>Marielcio</t>
  </si>
  <si>
    <t>Professor</t>
  </si>
  <si>
    <t>Rafael Balieiro</t>
  </si>
  <si>
    <t>Pepe</t>
  </si>
  <si>
    <t>Cristiano</t>
  </si>
  <si>
    <t>Leo Carioca</t>
  </si>
  <si>
    <t>Sallys</t>
  </si>
  <si>
    <t>Reginaldo</t>
  </si>
  <si>
    <t>Luiz Moreira</t>
  </si>
  <si>
    <t>Mura</t>
  </si>
  <si>
    <t>Andre Coelho</t>
  </si>
  <si>
    <t>WO 1</t>
  </si>
  <si>
    <t>WO 2</t>
  </si>
  <si>
    <t>WO 3</t>
  </si>
  <si>
    <t>DJ Iury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</si>
</sst>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\h"/>
    <numFmt numFmtId="165" formatCode="0.0%"/>
    <numFmt numFmtId="166" formatCode="#\º"/>
    <numFmt numFmtId="167" formatCode="hh\.mm\h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sz val="8"/>
      <color indexed="10"/>
      <name val="Calibri"/>
      <family val="2"/>
    </font>
    <font>
      <sz val="12"/>
      <color theme="1"/>
      <name val="Segoe UI Light"/>
      <family val="2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sz val="8"/>
      <color indexed="12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sz val="12"/>
      <color indexed="8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  <font>
      <b/>
      <sz val="12"/>
      <color indexed="8"/>
      <name val="Segoe UI Light"/>
      <family val="2"/>
    </font>
    <font>
      <b/>
      <sz val="8"/>
      <color indexed="12"/>
      <name val="Segoe UI Light"/>
      <family val="2"/>
    </font>
    <font>
      <b/>
      <sz val="8"/>
      <color indexed="10"/>
      <name val="Segoe UI Light"/>
      <family val="2"/>
    </font>
    <font>
      <b/>
      <sz val="14"/>
      <color theme="1"/>
      <name val="Segoe UI Light"/>
      <family val="2"/>
    </font>
    <font>
      <b/>
      <sz val="16"/>
      <color indexed="8"/>
      <name val="Copperplate Gothic Bold"/>
      <family val="2"/>
    </font>
    <font>
      <b/>
      <sz val="10"/>
      <color indexed="12"/>
      <name val="Arial"/>
      <family val="2"/>
    </font>
    <font>
      <sz val="10"/>
      <color indexed="23"/>
      <name val="Segoe UI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7" fillId="5" borderId="2" xfId="0" applyFont="1" applyFill="1" applyBorder="1" applyAlignment="1" applyProtection="1">
      <alignment horizontal="center"/>
      <protection hidden="1"/>
    </xf>
    <xf numFmtId="0" fontId="18" fillId="6" borderId="2" xfId="0" applyFont="1" applyFill="1" applyBorder="1" applyAlignment="1" applyProtection="1">
      <alignment horizontal="left"/>
      <protection hidden="1"/>
    </xf>
    <xf numFmtId="0" fontId="18" fillId="6" borderId="2" xfId="0" applyFont="1" applyFill="1" applyBorder="1" applyAlignment="1" applyProtection="1">
      <alignment horizontal="right"/>
      <protection hidden="1"/>
    </xf>
    <xf numFmtId="166" fontId="8" fillId="0" borderId="2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165" fontId="8" fillId="0" borderId="2" xfId="0" applyNumberFormat="1" applyFont="1" applyBorder="1" applyAlignment="1" applyProtection="1">
      <alignment horizontal="right"/>
      <protection hidden="1"/>
    </xf>
    <xf numFmtId="0" fontId="8" fillId="0" borderId="2" xfId="0" applyFont="1" applyBorder="1" applyAlignment="1" applyProtection="1">
      <alignment horizontal="right"/>
      <protection hidden="1"/>
    </xf>
    <xf numFmtId="166" fontId="8" fillId="0" borderId="1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165" fontId="8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2" fillId="9" borderId="0" xfId="0" applyFont="1" applyFill="1" applyAlignment="1">
      <alignment horizontal="centerContinuous"/>
    </xf>
    <xf numFmtId="167" fontId="18" fillId="0" borderId="0" xfId="0" applyNumberFormat="1" applyFont="1" applyAlignment="1">
      <alignment horizontal="right"/>
    </xf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/>
    </xf>
    <xf numFmtId="0" fontId="11" fillId="6" borderId="0" xfId="0" applyFont="1" applyFill="1" applyAlignment="1">
      <alignment horizontal="centerContinuous"/>
    </xf>
    <xf numFmtId="0" fontId="20" fillId="6" borderId="0" xfId="0" applyFont="1" applyFill="1" applyAlignment="1">
      <alignment horizontal="centerContinuous"/>
    </xf>
    <xf numFmtId="0" fontId="10" fillId="6" borderId="0" xfId="0" applyFont="1" applyFill="1" applyAlignment="1">
      <alignment horizontal="centerContinuous"/>
    </xf>
    <xf numFmtId="0" fontId="21" fillId="6" borderId="0" xfId="0" applyFont="1" applyFill="1" applyAlignment="1">
      <alignment horizontal="centerContinuous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8" fillId="2" borderId="0" xfId="0" applyFont="1" applyFill="1" applyAlignment="1" applyProtection="1">
      <alignment horizontal="center"/>
      <protection locked="0"/>
    </xf>
    <xf numFmtId="0" fontId="22" fillId="0" borderId="0" xfId="0" applyFont="1"/>
    <xf numFmtId="0" fontId="23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12" fillId="9" borderId="0" xfId="0" applyFont="1" applyFill="1" applyAlignment="1" applyProtection="1">
      <alignment horizontal="centerContinuous"/>
      <protection hidden="1"/>
    </xf>
    <xf numFmtId="0" fontId="22" fillId="10" borderId="2" xfId="0" applyFont="1" applyFill="1" applyBorder="1" applyAlignment="1" applyProtection="1">
      <alignment horizontal="center"/>
      <protection hidden="1"/>
    </xf>
    <xf numFmtId="0" fontId="22" fillId="6" borderId="2" xfId="0" applyFont="1" applyFill="1" applyBorder="1" applyAlignment="1" applyProtection="1">
      <alignment horizontal="left"/>
      <protection hidden="1"/>
    </xf>
    <xf numFmtId="0" fontId="22" fillId="0" borderId="2" xfId="0" applyFont="1" applyBorder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left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4" sqref="B14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3" width="10.875" style="4"/>
    <col min="4" max="16384" width="10.87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83</v>
      </c>
      <c r="C3" s="4">
        <v>0.21301227807998657</v>
      </c>
    </row>
    <row r="4" spans="1:3" x14ac:dyDescent="0.25">
      <c r="A4" s="5">
        <v>2</v>
      </c>
      <c r="B4" s="6" t="s">
        <v>90</v>
      </c>
      <c r="C4" s="4">
        <v>0.89225530624389648</v>
      </c>
    </row>
    <row r="5" spans="1:3" x14ac:dyDescent="0.25">
      <c r="A5" s="5">
        <v>3</v>
      </c>
      <c r="B5" s="6" t="s">
        <v>94</v>
      </c>
      <c r="C5" s="4">
        <v>0.55632370710372925</v>
      </c>
    </row>
    <row r="6" spans="1:3" x14ac:dyDescent="0.25">
      <c r="A6" s="5">
        <v>4</v>
      </c>
      <c r="B6" s="6" t="s">
        <v>95</v>
      </c>
      <c r="C6" s="4">
        <v>3.0030369758605957E-2</v>
      </c>
    </row>
    <row r="7" spans="1:3" x14ac:dyDescent="0.25">
      <c r="A7" s="5">
        <v>5</v>
      </c>
      <c r="B7" s="6" t="s">
        <v>84</v>
      </c>
      <c r="C7" s="4">
        <v>0.28101426362991333</v>
      </c>
    </row>
    <row r="8" spans="1:3" x14ac:dyDescent="0.25">
      <c r="A8" s="5">
        <v>6</v>
      </c>
      <c r="B8" s="6" t="s">
        <v>96</v>
      </c>
      <c r="C8" s="4">
        <v>0.76394820213317871</v>
      </c>
    </row>
    <row r="9" spans="1:3" x14ac:dyDescent="0.25">
      <c r="A9" s="5">
        <v>7</v>
      </c>
      <c r="B9" s="6" t="s">
        <v>89</v>
      </c>
      <c r="C9" s="4">
        <v>0.28252309560775757</v>
      </c>
    </row>
    <row r="10" spans="1:3" x14ac:dyDescent="0.25">
      <c r="A10" s="5">
        <v>8</v>
      </c>
      <c r="B10" s="6" t="s">
        <v>91</v>
      </c>
      <c r="C10" s="4">
        <v>0.192710280418396</v>
      </c>
    </row>
    <row r="11" spans="1:3" x14ac:dyDescent="0.25">
      <c r="A11" s="5">
        <v>9</v>
      </c>
      <c r="B11" s="6" t="s">
        <v>85</v>
      </c>
      <c r="C11" s="4">
        <v>0.91467863321304321</v>
      </c>
    </row>
    <row r="12" spans="1:3" x14ac:dyDescent="0.25">
      <c r="A12" s="5">
        <v>10</v>
      </c>
      <c r="B12" s="6" t="s">
        <v>97</v>
      </c>
      <c r="C12" s="4">
        <v>0.95203590393066406</v>
      </c>
    </row>
    <row r="13" spans="1:3" x14ac:dyDescent="0.25">
      <c r="A13" s="5">
        <v>11</v>
      </c>
      <c r="B13" s="6" t="s">
        <v>88</v>
      </c>
      <c r="C13" s="4">
        <v>7.5849711894989014E-2</v>
      </c>
    </row>
    <row r="14" spans="1:3" x14ac:dyDescent="0.25">
      <c r="A14" s="5">
        <v>12</v>
      </c>
      <c r="B14" s="6" t="s">
        <v>98</v>
      </c>
      <c r="C14" s="4">
        <v>0.67178499698638916</v>
      </c>
    </row>
    <row r="15" spans="1:3" x14ac:dyDescent="0.25">
      <c r="A15" s="5">
        <v>13</v>
      </c>
      <c r="B15" s="6" t="s">
        <v>86</v>
      </c>
      <c r="C15" s="4">
        <v>0.61547023057937622</v>
      </c>
    </row>
    <row r="16" spans="1:3" x14ac:dyDescent="0.25">
      <c r="A16" s="5">
        <v>14</v>
      </c>
      <c r="B16" s="6" t="s">
        <v>92</v>
      </c>
      <c r="C16" s="4">
        <v>0.45651841163635254</v>
      </c>
    </row>
    <row r="17" spans="1:3" x14ac:dyDescent="0.25">
      <c r="A17" s="5">
        <v>15</v>
      </c>
      <c r="B17" s="6" t="s">
        <v>93</v>
      </c>
      <c r="C17" s="4">
        <v>0.43483871221542358</v>
      </c>
    </row>
    <row r="18" spans="1:3" x14ac:dyDescent="0.25">
      <c r="A18" s="5">
        <v>16</v>
      </c>
      <c r="B18" s="6" t="s">
        <v>87</v>
      </c>
      <c r="C18" s="4">
        <v>0.68682849407196045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0.875" defaultRowHeight="15.75" x14ac:dyDescent="0.25"/>
  <cols>
    <col min="1" max="1" width="5.875" style="1" customWidth="1"/>
    <col min="2" max="2" width="50.875" style="1" customWidth="1"/>
    <col min="3" max="4" width="10.875" style="1"/>
    <col min="5" max="26" width="0" style="1" hidden="1" customWidth="1"/>
    <col min="27" max="16384" width="10.875" style="1"/>
  </cols>
  <sheetData>
    <row r="1" spans="1:6" ht="20.25" x14ac:dyDescent="0.3">
      <c r="B1" s="2" t="s">
        <v>2</v>
      </c>
    </row>
    <row r="2" spans="1:6" x14ac:dyDescent="0.25">
      <c r="B2" s="3" t="s">
        <v>1</v>
      </c>
    </row>
    <row r="3" spans="1:6" x14ac:dyDescent="0.25">
      <c r="A3" s="7" t="s">
        <v>3</v>
      </c>
      <c r="E3" s="1">
        <v>1</v>
      </c>
      <c r="F3" s="1">
        <v>2</v>
      </c>
    </row>
    <row r="4" spans="1:6" x14ac:dyDescent="0.25">
      <c r="A4" s="1">
        <v>1</v>
      </c>
      <c r="B4" s="1" t="str">
        <f>VLOOKUP($A4, Equipes!$A$2:$B$18, 2, FALSE)</f>
        <v>Luiz Coelho</v>
      </c>
      <c r="E4" s="1">
        <v>3</v>
      </c>
      <c r="F4" s="1">
        <v>4</v>
      </c>
    </row>
    <row r="5" spans="1:6" x14ac:dyDescent="0.25">
      <c r="A5" s="1">
        <v>2</v>
      </c>
      <c r="B5" s="1" t="str">
        <f>VLOOKUP($A5, Equipes!$A$2:$B$18, 2, FALSE)</f>
        <v>Sallys</v>
      </c>
    </row>
    <row r="6" spans="1:6" x14ac:dyDescent="0.25">
      <c r="A6" s="1">
        <v>3</v>
      </c>
      <c r="B6" s="1" t="str">
        <f>VLOOKUP($A6, Equipes!$A$2:$B$18, 2, FALSE)</f>
        <v>Andre Coelho</v>
      </c>
    </row>
    <row r="7" spans="1:6" x14ac:dyDescent="0.25">
      <c r="A7" s="1">
        <v>4</v>
      </c>
      <c r="B7" s="1" t="str">
        <f>VLOOKUP($A7, Equipes!$A$2:$B$18, 2, FALSE)</f>
        <v>WO 1</v>
      </c>
    </row>
    <row r="9" spans="1:6" x14ac:dyDescent="0.25">
      <c r="A9" s="7" t="s">
        <v>4</v>
      </c>
      <c r="E9" s="1">
        <v>5</v>
      </c>
      <c r="F9" s="1">
        <v>6</v>
      </c>
    </row>
    <row r="10" spans="1:6" x14ac:dyDescent="0.25">
      <c r="A10" s="1">
        <v>5</v>
      </c>
      <c r="B10" s="1" t="str">
        <f>VLOOKUP($A10, Equipes!$A$2:$B$18, 2, FALSE)</f>
        <v>Marielcio</v>
      </c>
      <c r="E10" s="1">
        <v>7</v>
      </c>
      <c r="F10" s="1">
        <v>8</v>
      </c>
    </row>
    <row r="11" spans="1:6" x14ac:dyDescent="0.25">
      <c r="A11" s="1">
        <v>6</v>
      </c>
      <c r="B11" s="1" t="str">
        <f>VLOOKUP($A11, Equipes!$A$2:$B$18, 2, FALSE)</f>
        <v>WO 2</v>
      </c>
    </row>
    <row r="12" spans="1:6" x14ac:dyDescent="0.25">
      <c r="A12" s="1">
        <v>7</v>
      </c>
      <c r="B12" s="1" t="str">
        <f>VLOOKUP($A12, Equipes!$A$2:$B$18, 2, FALSE)</f>
        <v>Leo Carioca</v>
      </c>
    </row>
    <row r="13" spans="1:6" x14ac:dyDescent="0.25">
      <c r="A13" s="1">
        <v>8</v>
      </c>
      <c r="B13" s="1" t="str">
        <f>VLOOKUP($A13, Equipes!$A$2:$B$18, 2, FALSE)</f>
        <v>Reginaldo</v>
      </c>
    </row>
    <row r="15" spans="1:6" x14ac:dyDescent="0.25">
      <c r="A15" s="7" t="s">
        <v>5</v>
      </c>
      <c r="E15" s="1">
        <v>9</v>
      </c>
      <c r="F15" s="1">
        <v>10</v>
      </c>
    </row>
    <row r="16" spans="1:6" x14ac:dyDescent="0.25">
      <c r="A16" s="1">
        <v>9</v>
      </c>
      <c r="B16" s="1" t="str">
        <f>VLOOKUP($A16, Equipes!$A$2:$B$18, 2, FALSE)</f>
        <v>Professor</v>
      </c>
      <c r="E16" s="1">
        <v>11</v>
      </c>
      <c r="F16" s="1">
        <v>12</v>
      </c>
    </row>
    <row r="17" spans="1:6" x14ac:dyDescent="0.25">
      <c r="A17" s="1">
        <v>10</v>
      </c>
      <c r="B17" s="1" t="str">
        <f>VLOOKUP($A17, Equipes!$A$2:$B$18, 2, FALSE)</f>
        <v>WO 3</v>
      </c>
    </row>
    <row r="18" spans="1:6" x14ac:dyDescent="0.25">
      <c r="A18" s="1">
        <v>11</v>
      </c>
      <c r="B18" s="1" t="str">
        <f>VLOOKUP($A18, Equipes!$A$2:$B$18, 2, FALSE)</f>
        <v>Cristiano</v>
      </c>
    </row>
    <row r="19" spans="1:6" x14ac:dyDescent="0.25">
      <c r="A19" s="1">
        <v>12</v>
      </c>
      <c r="B19" s="1" t="str">
        <f>VLOOKUP($A19, Equipes!$A$2:$B$18, 2, FALSE)</f>
        <v>DJ Iury</v>
      </c>
    </row>
    <row r="21" spans="1:6" x14ac:dyDescent="0.25">
      <c r="A21" s="7" t="s">
        <v>6</v>
      </c>
      <c r="E21" s="1">
        <v>13</v>
      </c>
      <c r="F21" s="1">
        <v>14</v>
      </c>
    </row>
    <row r="22" spans="1:6" x14ac:dyDescent="0.25">
      <c r="A22" s="1">
        <v>13</v>
      </c>
      <c r="B22" s="1" t="str">
        <f>VLOOKUP($A22, Equipes!$A$2:$B$18, 2, FALSE)</f>
        <v>Rafael Balieiro</v>
      </c>
      <c r="E22" s="1">
        <v>15</v>
      </c>
      <c r="F22" s="1">
        <v>16</v>
      </c>
    </row>
    <row r="23" spans="1:6" x14ac:dyDescent="0.25">
      <c r="A23" s="1">
        <v>14</v>
      </c>
      <c r="B23" s="1" t="str">
        <f>VLOOKUP($A23, Equipes!$A$2:$B$18, 2, FALSE)</f>
        <v>Luiz Moreira</v>
      </c>
    </row>
    <row r="24" spans="1:6" x14ac:dyDescent="0.25">
      <c r="A24" s="1">
        <v>15</v>
      </c>
      <c r="B24" s="1" t="str">
        <f>VLOOKUP($A24, Equipes!$A$2:$B$18, 2, FALSE)</f>
        <v>Mura</v>
      </c>
    </row>
    <row r="25" spans="1:6" x14ac:dyDescent="0.25">
      <c r="A25" s="1">
        <v>16</v>
      </c>
      <c r="B25" s="1" t="str">
        <f>VLOOKUP($A25, Equipes!$A$2:$B$18, 2, FALSE)</f>
        <v>Pepe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opLeftCell="B1" workbookViewId="0">
      <pane ySplit="2" topLeftCell="A4" activePane="bottomLeft" state="frozen"/>
      <selection activeCell="B1" sqref="B1"/>
      <selection pane="bottomLeft" activeCell="C17" sqref="C17"/>
    </sheetView>
  </sheetViews>
  <sheetFormatPr defaultColWidth="10.875" defaultRowHeight="15.75" x14ac:dyDescent="0.25"/>
  <cols>
    <col min="1" max="1" width="2.875" style="8" hidden="1" customWidth="1"/>
    <col min="2" max="2" width="40.875" style="9" customWidth="1"/>
    <col min="3" max="5" width="4.875" style="10" customWidth="1"/>
    <col min="6" max="6" width="40.875" style="11" customWidth="1"/>
    <col min="7" max="7" width="2.875" style="8" hidden="1" customWidth="1"/>
    <col min="8" max="10" width="8.875" style="9" customWidth="1"/>
    <col min="11" max="11" width="10.875" style="9"/>
    <col min="12" max="12" width="10.875" style="1"/>
    <col min="13" max="23" width="5.875" style="9" hidden="1" customWidth="1"/>
    <col min="24" max="16384" width="10.875" style="1"/>
  </cols>
  <sheetData>
    <row r="1" spans="1:23" ht="20.25" x14ac:dyDescent="0.3">
      <c r="B1" s="2" t="s">
        <v>7</v>
      </c>
      <c r="M1" s="9" t="s">
        <v>8</v>
      </c>
    </row>
    <row r="2" spans="1:23" x14ac:dyDescent="0.25">
      <c r="B2" s="3" t="s">
        <v>1</v>
      </c>
      <c r="M2" s="9">
        <v>24</v>
      </c>
    </row>
    <row r="3" spans="1:23" x14ac:dyDescent="0.25">
      <c r="B3" s="13" t="s">
        <v>9</v>
      </c>
      <c r="C3" s="14"/>
      <c r="D3" s="14"/>
      <c r="E3" s="14"/>
      <c r="F3" s="15"/>
      <c r="G3" s="16"/>
      <c r="H3" s="13" t="s">
        <v>10</v>
      </c>
      <c r="I3" s="13" t="s">
        <v>11</v>
      </c>
      <c r="J3" s="13" t="s">
        <v>12</v>
      </c>
      <c r="K3" s="17">
        <v>44969.479166666664</v>
      </c>
      <c r="M3" s="12" t="s">
        <v>13</v>
      </c>
      <c r="N3" s="12" t="s">
        <v>13</v>
      </c>
      <c r="O3" s="12" t="s">
        <v>14</v>
      </c>
      <c r="P3" s="12" t="s">
        <v>15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14</v>
      </c>
      <c r="V3" s="12" t="s">
        <v>19</v>
      </c>
      <c r="W3" s="12" t="s">
        <v>20</v>
      </c>
    </row>
    <row r="4" spans="1:23" x14ac:dyDescent="0.25">
      <c r="A4" s="8">
        <v>1</v>
      </c>
      <c r="B4" s="9" t="str">
        <f>VLOOKUP($A4, Equipes!$A$3:$B$18, 2, FALSE)</f>
        <v>Luiz Coelho</v>
      </c>
      <c r="C4" s="18">
        <v>0</v>
      </c>
      <c r="D4" s="10" t="s">
        <v>21</v>
      </c>
      <c r="E4" s="18">
        <v>0</v>
      </c>
      <c r="F4" s="11" t="str">
        <f>VLOOKUP($G4, Equipes!$A$3:$B$18, 2, FALSE)</f>
        <v>Andre Coelho</v>
      </c>
      <c r="G4" s="8">
        <v>3</v>
      </c>
      <c r="H4" s="9">
        <v>1</v>
      </c>
      <c r="I4" s="9" t="s">
        <v>22</v>
      </c>
      <c r="J4" s="9">
        <v>1</v>
      </c>
      <c r="M4" s="9" t="str">
        <f t="shared" ref="M4:M11" si="0">IF(OR(C4 = "",E4 = ""), "", B4)</f>
        <v>Luiz Coelho</v>
      </c>
      <c r="N4" s="9" t="str">
        <f t="shared" ref="N4:N11" si="1">IF(OR(C4 = "",E4 = ""), "", F4)</f>
        <v>Andre Coelho</v>
      </c>
      <c r="O4" s="9" t="str">
        <f t="shared" ref="O4:O11" si="2">IF(C4&gt;E4,B4, IF(E4&gt;C4,F4, ""))</f>
        <v/>
      </c>
      <c r="P4" s="9" t="str">
        <f t="shared" ref="P4:P11" si="3">IF(OR(C4 = "",E4 = ""), "", IF(C4=E4,B4, ""))</f>
        <v>Luiz Coelho</v>
      </c>
      <c r="Q4" s="9" t="str">
        <f t="shared" ref="Q4:Q11" si="4">IF(OR(C4 = "",E4 = ""), "", IF(C4=E4,F4, ""))</f>
        <v>Andre Coelho</v>
      </c>
      <c r="R4" s="9" t="str">
        <f t="shared" ref="R4:R11" si="5">IF(C4&gt;E4,F4, IF(E4&gt;C4,B4, ""))</f>
        <v/>
      </c>
      <c r="S4" s="9" t="str">
        <f t="shared" ref="S4:S11" si="6">IF(OR(C4 = "",E4 = ""), "", B4)</f>
        <v>Luiz Coelho</v>
      </c>
      <c r="T4" s="9">
        <f t="shared" ref="T4:T11" si="7">IF(C4 = "", "", C4)</f>
        <v>0</v>
      </c>
      <c r="U4" s="9" t="str">
        <f t="shared" ref="U4:U11" si="8">IF(OR(C4 = "",E4 = ""), "", F4)</f>
        <v>Andre Coelho</v>
      </c>
      <c r="V4" s="9">
        <f t="shared" ref="V4:V11" si="9">IF(E4 = "", "", E4)</f>
        <v>0</v>
      </c>
      <c r="W4" s="9">
        <f t="shared" ref="W4:W11" si="10">IF(C4 = "", "", C4)</f>
        <v>0</v>
      </c>
    </row>
    <row r="5" spans="1:23" x14ac:dyDescent="0.25">
      <c r="A5" s="8">
        <v>2</v>
      </c>
      <c r="B5" s="19" t="str">
        <f>VLOOKUP($A5, Equipes!$A$3:$B$18, 2, FALSE)</f>
        <v>Sallys</v>
      </c>
      <c r="C5" s="18">
        <v>1</v>
      </c>
      <c r="D5" s="20" t="s">
        <v>21</v>
      </c>
      <c r="E5" s="18">
        <v>0</v>
      </c>
      <c r="F5" s="21" t="str">
        <f>VLOOKUP($G5, Equipes!$A$3:$B$18, 2, FALSE)</f>
        <v>WO 1</v>
      </c>
      <c r="G5" s="22">
        <v>4</v>
      </c>
      <c r="H5" s="19">
        <v>5</v>
      </c>
      <c r="I5" s="19" t="s">
        <v>22</v>
      </c>
      <c r="J5" s="19">
        <v>1</v>
      </c>
      <c r="K5" s="19"/>
      <c r="M5" s="9" t="str">
        <f t="shared" si="0"/>
        <v>Sallys</v>
      </c>
      <c r="N5" s="9" t="str">
        <f t="shared" si="1"/>
        <v>WO 1</v>
      </c>
      <c r="O5" s="9" t="str">
        <f t="shared" si="2"/>
        <v>Sallys</v>
      </c>
      <c r="P5" s="9" t="str">
        <f t="shared" si="3"/>
        <v/>
      </c>
      <c r="Q5" s="9" t="str">
        <f t="shared" si="4"/>
        <v/>
      </c>
      <c r="R5" s="9" t="str">
        <f t="shared" si="5"/>
        <v>WO 1</v>
      </c>
      <c r="S5" s="9" t="str">
        <f t="shared" si="6"/>
        <v>Sallys</v>
      </c>
      <c r="T5" s="9">
        <f t="shared" si="7"/>
        <v>1</v>
      </c>
      <c r="U5" s="9" t="str">
        <f t="shared" si="8"/>
        <v>WO 1</v>
      </c>
      <c r="V5" s="9">
        <f t="shared" si="9"/>
        <v>0</v>
      </c>
      <c r="W5" s="9">
        <f t="shared" si="10"/>
        <v>1</v>
      </c>
    </row>
    <row r="6" spans="1:23" x14ac:dyDescent="0.25">
      <c r="A6" s="8">
        <v>5</v>
      </c>
      <c r="B6" s="9" t="str">
        <f>VLOOKUP($A6, Equipes!$A$3:$B$18, 2, FALSE)</f>
        <v>Marielcio</v>
      </c>
      <c r="C6" s="18">
        <v>3</v>
      </c>
      <c r="D6" s="10" t="s">
        <v>21</v>
      </c>
      <c r="E6" s="18">
        <v>1</v>
      </c>
      <c r="F6" s="11" t="str">
        <f>VLOOKUP($G6, Equipes!$A$3:$B$18, 2, FALSE)</f>
        <v>Leo Carioca</v>
      </c>
      <c r="G6" s="8">
        <v>7</v>
      </c>
      <c r="H6" s="9">
        <v>4</v>
      </c>
      <c r="I6" s="9" t="s">
        <v>23</v>
      </c>
      <c r="J6" s="9">
        <v>1</v>
      </c>
      <c r="M6" s="9" t="str">
        <f t="shared" si="0"/>
        <v>Marielcio</v>
      </c>
      <c r="N6" s="9" t="str">
        <f t="shared" si="1"/>
        <v>Leo Carioca</v>
      </c>
      <c r="O6" s="9" t="str">
        <f t="shared" si="2"/>
        <v>Marielcio</v>
      </c>
      <c r="P6" s="9" t="str">
        <f t="shared" si="3"/>
        <v/>
      </c>
      <c r="Q6" s="9" t="str">
        <f t="shared" si="4"/>
        <v/>
      </c>
      <c r="R6" s="9" t="str">
        <f t="shared" si="5"/>
        <v>Leo Carioca</v>
      </c>
      <c r="S6" s="9" t="str">
        <f t="shared" si="6"/>
        <v>Marielcio</v>
      </c>
      <c r="T6" s="9">
        <f t="shared" si="7"/>
        <v>3</v>
      </c>
      <c r="U6" s="9" t="str">
        <f t="shared" si="8"/>
        <v>Leo Carioca</v>
      </c>
      <c r="V6" s="9">
        <f t="shared" si="9"/>
        <v>1</v>
      </c>
      <c r="W6" s="9">
        <f t="shared" si="10"/>
        <v>3</v>
      </c>
    </row>
    <row r="7" spans="1:23" x14ac:dyDescent="0.25">
      <c r="A7" s="8">
        <v>6</v>
      </c>
      <c r="B7" s="19" t="str">
        <f>VLOOKUP($A7, Equipes!$A$3:$B$18, 2, FALSE)</f>
        <v>WO 2</v>
      </c>
      <c r="C7" s="18">
        <v>0</v>
      </c>
      <c r="D7" s="20" t="s">
        <v>21</v>
      </c>
      <c r="E7" s="18">
        <v>1</v>
      </c>
      <c r="F7" s="21" t="str">
        <f>VLOOKUP($G7, Equipes!$A$3:$B$18, 2, FALSE)</f>
        <v>Reginaldo</v>
      </c>
      <c r="G7" s="22">
        <v>8</v>
      </c>
      <c r="H7" s="19">
        <v>2</v>
      </c>
      <c r="I7" s="19" t="s">
        <v>23</v>
      </c>
      <c r="J7" s="19">
        <v>1</v>
      </c>
      <c r="K7" s="19"/>
      <c r="M7" s="9" t="str">
        <f t="shared" si="0"/>
        <v>WO 2</v>
      </c>
      <c r="N7" s="9" t="str">
        <f t="shared" si="1"/>
        <v>Reginaldo</v>
      </c>
      <c r="O7" s="9" t="str">
        <f t="shared" si="2"/>
        <v>Reginaldo</v>
      </c>
      <c r="P7" s="9" t="str">
        <f t="shared" si="3"/>
        <v/>
      </c>
      <c r="Q7" s="9" t="str">
        <f t="shared" si="4"/>
        <v/>
      </c>
      <c r="R7" s="9" t="str">
        <f t="shared" si="5"/>
        <v>WO 2</v>
      </c>
      <c r="S7" s="9" t="str">
        <f t="shared" si="6"/>
        <v>WO 2</v>
      </c>
      <c r="T7" s="9">
        <f t="shared" si="7"/>
        <v>0</v>
      </c>
      <c r="U7" s="9" t="str">
        <f t="shared" si="8"/>
        <v>Reginaldo</v>
      </c>
      <c r="V7" s="9">
        <f t="shared" si="9"/>
        <v>1</v>
      </c>
      <c r="W7" s="9">
        <f t="shared" si="10"/>
        <v>0</v>
      </c>
    </row>
    <row r="8" spans="1:23" x14ac:dyDescent="0.25">
      <c r="A8" s="8">
        <v>9</v>
      </c>
      <c r="B8" s="9" t="str">
        <f>VLOOKUP($A8, Equipes!$A$3:$B$18, 2, FALSE)</f>
        <v>Professor</v>
      </c>
      <c r="C8" s="18">
        <v>3</v>
      </c>
      <c r="D8" s="10" t="s">
        <v>21</v>
      </c>
      <c r="E8" s="18">
        <v>2</v>
      </c>
      <c r="F8" s="11" t="str">
        <f>VLOOKUP($G8, Equipes!$A$3:$B$18, 2, FALSE)</f>
        <v>Cristiano</v>
      </c>
      <c r="G8" s="8">
        <v>11</v>
      </c>
      <c r="H8" s="9">
        <v>7</v>
      </c>
      <c r="I8" s="9" t="s">
        <v>24</v>
      </c>
      <c r="J8" s="9">
        <v>1</v>
      </c>
      <c r="M8" s="9" t="str">
        <f t="shared" si="0"/>
        <v>Professor</v>
      </c>
      <c r="N8" s="9" t="str">
        <f t="shared" si="1"/>
        <v>Cristiano</v>
      </c>
      <c r="O8" s="9" t="str">
        <f t="shared" si="2"/>
        <v>Professor</v>
      </c>
      <c r="P8" s="9" t="str">
        <f t="shared" si="3"/>
        <v/>
      </c>
      <c r="Q8" s="9" t="str">
        <f t="shared" si="4"/>
        <v/>
      </c>
      <c r="R8" s="9" t="str">
        <f t="shared" si="5"/>
        <v>Cristiano</v>
      </c>
      <c r="S8" s="9" t="str">
        <f t="shared" si="6"/>
        <v>Professor</v>
      </c>
      <c r="T8" s="9">
        <f t="shared" si="7"/>
        <v>3</v>
      </c>
      <c r="U8" s="9" t="str">
        <f t="shared" si="8"/>
        <v>Cristiano</v>
      </c>
      <c r="V8" s="9">
        <f t="shared" si="9"/>
        <v>2</v>
      </c>
      <c r="W8" s="9">
        <f t="shared" si="10"/>
        <v>3</v>
      </c>
    </row>
    <row r="9" spans="1:23" x14ac:dyDescent="0.25">
      <c r="A9" s="8">
        <v>10</v>
      </c>
      <c r="B9" s="19" t="str">
        <f>VLOOKUP($A9, Equipes!$A$3:$B$18, 2, FALSE)</f>
        <v>WO 3</v>
      </c>
      <c r="C9" s="18">
        <v>0</v>
      </c>
      <c r="D9" s="20" t="s">
        <v>21</v>
      </c>
      <c r="E9" s="18">
        <v>1</v>
      </c>
      <c r="F9" s="21" t="str">
        <f>VLOOKUP($G9, Equipes!$A$3:$B$18, 2, FALSE)</f>
        <v>DJ Iury</v>
      </c>
      <c r="G9" s="22">
        <v>12</v>
      </c>
      <c r="H9" s="19">
        <v>3</v>
      </c>
      <c r="I9" s="19" t="s">
        <v>24</v>
      </c>
      <c r="J9" s="19">
        <v>1</v>
      </c>
      <c r="K9" s="19"/>
      <c r="M9" s="9" t="str">
        <f t="shared" si="0"/>
        <v>WO 3</v>
      </c>
      <c r="N9" s="9" t="str">
        <f t="shared" si="1"/>
        <v>DJ Iury</v>
      </c>
      <c r="O9" s="9" t="str">
        <f t="shared" si="2"/>
        <v>DJ Iury</v>
      </c>
      <c r="P9" s="9" t="str">
        <f t="shared" si="3"/>
        <v/>
      </c>
      <c r="Q9" s="9" t="str">
        <f t="shared" si="4"/>
        <v/>
      </c>
      <c r="R9" s="9" t="str">
        <f t="shared" si="5"/>
        <v>WO 3</v>
      </c>
      <c r="S9" s="9" t="str">
        <f t="shared" si="6"/>
        <v>WO 3</v>
      </c>
      <c r="T9" s="9">
        <f t="shared" si="7"/>
        <v>0</v>
      </c>
      <c r="U9" s="9" t="str">
        <f t="shared" si="8"/>
        <v>DJ Iury</v>
      </c>
      <c r="V9" s="9">
        <f t="shared" si="9"/>
        <v>1</v>
      </c>
      <c r="W9" s="9">
        <f t="shared" si="10"/>
        <v>0</v>
      </c>
    </row>
    <row r="10" spans="1:23" x14ac:dyDescent="0.25">
      <c r="A10" s="8">
        <v>13</v>
      </c>
      <c r="B10" s="9" t="str">
        <f>VLOOKUP($A10, Equipes!$A$3:$B$18, 2, FALSE)</f>
        <v>Rafael Balieiro</v>
      </c>
      <c r="C10" s="18">
        <v>0</v>
      </c>
      <c r="D10" s="10" t="s">
        <v>21</v>
      </c>
      <c r="E10" s="18">
        <v>1</v>
      </c>
      <c r="F10" s="11" t="str">
        <f>VLOOKUP($G10, Equipes!$A$3:$B$18, 2, FALSE)</f>
        <v>Mura</v>
      </c>
      <c r="G10" s="8">
        <v>15</v>
      </c>
      <c r="H10" s="9">
        <v>6</v>
      </c>
      <c r="I10" s="9" t="s">
        <v>16</v>
      </c>
      <c r="J10" s="9">
        <v>1</v>
      </c>
      <c r="M10" s="9" t="str">
        <f t="shared" si="0"/>
        <v>Rafael Balieiro</v>
      </c>
      <c r="N10" s="9" t="str">
        <f t="shared" si="1"/>
        <v>Mura</v>
      </c>
      <c r="O10" s="9" t="str">
        <f t="shared" si="2"/>
        <v>Mura</v>
      </c>
      <c r="P10" s="9" t="str">
        <f t="shared" si="3"/>
        <v/>
      </c>
      <c r="Q10" s="9" t="str">
        <f t="shared" si="4"/>
        <v/>
      </c>
      <c r="R10" s="9" t="str">
        <f t="shared" si="5"/>
        <v>Rafael Balieiro</v>
      </c>
      <c r="S10" s="9" t="str">
        <f t="shared" si="6"/>
        <v>Rafael Balieiro</v>
      </c>
      <c r="T10" s="9">
        <f t="shared" si="7"/>
        <v>0</v>
      </c>
      <c r="U10" s="9" t="str">
        <f t="shared" si="8"/>
        <v>Mura</v>
      </c>
      <c r="V10" s="9">
        <f t="shared" si="9"/>
        <v>1</v>
      </c>
      <c r="W10" s="9">
        <f t="shared" si="10"/>
        <v>0</v>
      </c>
    </row>
    <row r="11" spans="1:23" x14ac:dyDescent="0.25">
      <c r="A11" s="8">
        <v>14</v>
      </c>
      <c r="B11" s="19" t="str">
        <f>VLOOKUP($A11, Equipes!$A$3:$B$18, 2, FALSE)</f>
        <v>Luiz Moreira</v>
      </c>
      <c r="C11" s="18">
        <v>0</v>
      </c>
      <c r="D11" s="20" t="s">
        <v>21</v>
      </c>
      <c r="E11" s="18">
        <v>0</v>
      </c>
      <c r="F11" s="21" t="str">
        <f>VLOOKUP($G11, Equipes!$A$3:$B$18, 2, FALSE)</f>
        <v>Pepe</v>
      </c>
      <c r="G11" s="22">
        <v>16</v>
      </c>
      <c r="H11" s="19">
        <v>8</v>
      </c>
      <c r="I11" s="19" t="s">
        <v>16</v>
      </c>
      <c r="J11" s="19">
        <v>1</v>
      </c>
      <c r="K11" s="19"/>
      <c r="M11" s="9" t="str">
        <f t="shared" si="0"/>
        <v>Luiz Moreira</v>
      </c>
      <c r="N11" s="9" t="str">
        <f t="shared" si="1"/>
        <v>Pepe</v>
      </c>
      <c r="O11" s="9" t="str">
        <f t="shared" si="2"/>
        <v/>
      </c>
      <c r="P11" s="9" t="str">
        <f t="shared" si="3"/>
        <v>Luiz Moreira</v>
      </c>
      <c r="Q11" s="9" t="str">
        <f t="shared" si="4"/>
        <v>Pepe</v>
      </c>
      <c r="R11" s="9" t="str">
        <f t="shared" si="5"/>
        <v/>
      </c>
      <c r="S11" s="9" t="str">
        <f t="shared" si="6"/>
        <v>Luiz Moreira</v>
      </c>
      <c r="T11" s="9">
        <f t="shared" si="7"/>
        <v>0</v>
      </c>
      <c r="U11" s="9" t="str">
        <f t="shared" si="8"/>
        <v>Pepe</v>
      </c>
      <c r="V11" s="9">
        <f t="shared" si="9"/>
        <v>0</v>
      </c>
      <c r="W11" s="9">
        <f t="shared" si="10"/>
        <v>0</v>
      </c>
    </row>
    <row r="12" spans="1:23" x14ac:dyDescent="0.25">
      <c r="B12" s="13" t="s">
        <v>25</v>
      </c>
      <c r="C12" s="14"/>
      <c r="D12" s="14"/>
      <c r="E12" s="14"/>
      <c r="F12" s="15"/>
      <c r="G12" s="16"/>
      <c r="H12" s="13" t="s">
        <v>10</v>
      </c>
      <c r="I12" s="13" t="s">
        <v>11</v>
      </c>
      <c r="J12" s="13" t="s">
        <v>12</v>
      </c>
      <c r="K12" s="17">
        <f>K3 + TIME(0,20,0)</f>
        <v>44969.493055555555</v>
      </c>
      <c r="M12" s="12" t="s">
        <v>13</v>
      </c>
      <c r="N12" s="12" t="s">
        <v>13</v>
      </c>
      <c r="O12" s="12" t="s">
        <v>14</v>
      </c>
      <c r="P12" s="12" t="s">
        <v>15</v>
      </c>
      <c r="Q12" s="12" t="s">
        <v>15</v>
      </c>
      <c r="R12" s="12" t="s">
        <v>16</v>
      </c>
      <c r="S12" s="12" t="s">
        <v>17</v>
      </c>
      <c r="T12" s="12" t="s">
        <v>18</v>
      </c>
      <c r="U12" s="12" t="s">
        <v>14</v>
      </c>
      <c r="V12" s="12" t="s">
        <v>19</v>
      </c>
      <c r="W12" s="12" t="s">
        <v>20</v>
      </c>
    </row>
    <row r="13" spans="1:23" x14ac:dyDescent="0.25">
      <c r="A13" s="8">
        <v>1</v>
      </c>
      <c r="B13" s="19" t="str">
        <f>VLOOKUP($A13, Equipes!$A$3:$B$18, 2, FALSE)</f>
        <v>Luiz Coelho</v>
      </c>
      <c r="C13" s="18">
        <v>1</v>
      </c>
      <c r="D13" s="20" t="s">
        <v>21</v>
      </c>
      <c r="E13" s="18">
        <v>0</v>
      </c>
      <c r="F13" s="21" t="str">
        <f>VLOOKUP($G13, Equipes!$A$3:$B$18, 2, FALSE)</f>
        <v>WO 1</v>
      </c>
      <c r="G13" s="22">
        <v>4</v>
      </c>
      <c r="H13" s="19">
        <v>6</v>
      </c>
      <c r="I13" s="19" t="s">
        <v>22</v>
      </c>
      <c r="J13" s="19">
        <v>2</v>
      </c>
      <c r="K13" s="19"/>
      <c r="M13" s="9" t="str">
        <f t="shared" ref="M13:M20" si="11">IF(OR(C13 = "",E13 = ""), "", B13)</f>
        <v>Luiz Coelho</v>
      </c>
      <c r="N13" s="9" t="str">
        <f t="shared" ref="N13:N20" si="12">IF(OR(C13 = "",E13 = ""), "", F13)</f>
        <v>WO 1</v>
      </c>
      <c r="O13" s="9" t="str">
        <f t="shared" ref="O13:O20" si="13">IF(C13&gt;E13,B13, IF(E13&gt;C13,F13, ""))</f>
        <v>Luiz Coelho</v>
      </c>
      <c r="P13" s="9" t="str">
        <f t="shared" ref="P13:P20" si="14">IF(OR(C13 = "",E13 = ""), "", IF(C13=E13,B13, ""))</f>
        <v/>
      </c>
      <c r="Q13" s="9" t="str">
        <f t="shared" ref="Q13:Q20" si="15">IF(OR(C13 = "",E13 = ""), "", IF(C13=E13,F13, ""))</f>
        <v/>
      </c>
      <c r="R13" s="9" t="str">
        <f t="shared" ref="R13:R20" si="16">IF(C13&gt;E13,F13, IF(E13&gt;C13,B13, ""))</f>
        <v>WO 1</v>
      </c>
      <c r="S13" s="9" t="str">
        <f t="shared" ref="S13:S20" si="17">IF(OR(C13 = "",E13 = ""), "", B13)</f>
        <v>Luiz Coelho</v>
      </c>
      <c r="T13" s="9">
        <f t="shared" ref="T13:T20" si="18">IF(C13 = "", "", C13)</f>
        <v>1</v>
      </c>
      <c r="U13" s="9" t="str">
        <f t="shared" ref="U13:U20" si="19">IF(OR(C13 = "",E13 = ""), "", F13)</f>
        <v>WO 1</v>
      </c>
      <c r="V13" s="9">
        <f t="shared" ref="V13:V20" si="20">IF(E13 = "", "", E13)</f>
        <v>0</v>
      </c>
      <c r="W13" s="9">
        <f t="shared" ref="W13:W20" si="21">IF(C13 = "", "", C13)</f>
        <v>1</v>
      </c>
    </row>
    <row r="14" spans="1:23" x14ac:dyDescent="0.25">
      <c r="A14" s="8">
        <v>3</v>
      </c>
      <c r="B14" s="9" t="str">
        <f>VLOOKUP($A14, Equipes!$A$3:$B$18, 2, FALSE)</f>
        <v>Andre Coelho</v>
      </c>
      <c r="C14" s="18">
        <v>1</v>
      </c>
      <c r="D14" s="10" t="s">
        <v>21</v>
      </c>
      <c r="E14" s="18">
        <v>2</v>
      </c>
      <c r="F14" s="11" t="str">
        <f>VLOOKUP($G14, Equipes!$A$3:$B$18, 2, FALSE)</f>
        <v>Sallys</v>
      </c>
      <c r="G14" s="8">
        <v>2</v>
      </c>
      <c r="H14" s="9">
        <v>5</v>
      </c>
      <c r="I14" s="9" t="s">
        <v>22</v>
      </c>
      <c r="J14" s="9">
        <v>2</v>
      </c>
      <c r="M14" s="9" t="str">
        <f t="shared" si="11"/>
        <v>Andre Coelho</v>
      </c>
      <c r="N14" s="9" t="str">
        <f t="shared" si="12"/>
        <v>Sallys</v>
      </c>
      <c r="O14" s="9" t="str">
        <f t="shared" si="13"/>
        <v>Sallys</v>
      </c>
      <c r="P14" s="9" t="str">
        <f t="shared" si="14"/>
        <v/>
      </c>
      <c r="Q14" s="9" t="str">
        <f t="shared" si="15"/>
        <v/>
      </c>
      <c r="R14" s="9" t="str">
        <f t="shared" si="16"/>
        <v>Andre Coelho</v>
      </c>
      <c r="S14" s="9" t="str">
        <f t="shared" si="17"/>
        <v>Andre Coelho</v>
      </c>
      <c r="T14" s="9">
        <f t="shared" si="18"/>
        <v>1</v>
      </c>
      <c r="U14" s="9" t="str">
        <f t="shared" si="19"/>
        <v>Sallys</v>
      </c>
      <c r="V14" s="9">
        <f t="shared" si="20"/>
        <v>2</v>
      </c>
      <c r="W14" s="9">
        <f t="shared" si="21"/>
        <v>1</v>
      </c>
    </row>
    <row r="15" spans="1:23" x14ac:dyDescent="0.25">
      <c r="A15" s="8">
        <v>5</v>
      </c>
      <c r="B15" s="19" t="str">
        <f>VLOOKUP($A15, Equipes!$A$3:$B$18, 2, FALSE)</f>
        <v>Marielcio</v>
      </c>
      <c r="C15" s="18">
        <v>0</v>
      </c>
      <c r="D15" s="20" t="s">
        <v>21</v>
      </c>
      <c r="E15" s="18">
        <v>1</v>
      </c>
      <c r="F15" s="21" t="str">
        <f>VLOOKUP($G15, Equipes!$A$3:$B$18, 2, FALSE)</f>
        <v>Reginaldo</v>
      </c>
      <c r="G15" s="22">
        <v>8</v>
      </c>
      <c r="H15" s="19">
        <v>4</v>
      </c>
      <c r="I15" s="19" t="s">
        <v>23</v>
      </c>
      <c r="J15" s="19">
        <v>2</v>
      </c>
      <c r="K15" s="19"/>
      <c r="M15" s="9" t="str">
        <f t="shared" si="11"/>
        <v>Marielcio</v>
      </c>
      <c r="N15" s="9" t="str">
        <f t="shared" si="12"/>
        <v>Reginaldo</v>
      </c>
      <c r="O15" s="9" t="str">
        <f t="shared" si="13"/>
        <v>Reginaldo</v>
      </c>
      <c r="P15" s="9" t="str">
        <f t="shared" si="14"/>
        <v/>
      </c>
      <c r="Q15" s="9" t="str">
        <f t="shared" si="15"/>
        <v/>
      </c>
      <c r="R15" s="9" t="str">
        <f t="shared" si="16"/>
        <v>Marielcio</v>
      </c>
      <c r="S15" s="9" t="str">
        <f t="shared" si="17"/>
        <v>Marielcio</v>
      </c>
      <c r="T15" s="9">
        <f t="shared" si="18"/>
        <v>0</v>
      </c>
      <c r="U15" s="9" t="str">
        <f t="shared" si="19"/>
        <v>Reginaldo</v>
      </c>
      <c r="V15" s="9">
        <f t="shared" si="20"/>
        <v>1</v>
      </c>
      <c r="W15" s="9">
        <f t="shared" si="21"/>
        <v>0</v>
      </c>
    </row>
    <row r="16" spans="1:23" x14ac:dyDescent="0.25">
      <c r="A16" s="8">
        <v>7</v>
      </c>
      <c r="B16" s="9" t="str">
        <f>VLOOKUP($A16, Equipes!$A$3:$B$18, 2, FALSE)</f>
        <v>Leo Carioca</v>
      </c>
      <c r="C16" s="18">
        <v>1</v>
      </c>
      <c r="D16" s="10" t="s">
        <v>21</v>
      </c>
      <c r="E16" s="18">
        <v>0</v>
      </c>
      <c r="F16" s="11" t="str">
        <f>VLOOKUP($G16, Equipes!$A$3:$B$18, 2, FALSE)</f>
        <v>WO 2</v>
      </c>
      <c r="G16" s="8">
        <v>6</v>
      </c>
      <c r="H16" s="9">
        <v>8</v>
      </c>
      <c r="I16" s="9" t="s">
        <v>23</v>
      </c>
      <c r="J16" s="9">
        <v>2</v>
      </c>
      <c r="M16" s="9" t="str">
        <f t="shared" si="11"/>
        <v>Leo Carioca</v>
      </c>
      <c r="N16" s="9" t="str">
        <f t="shared" si="12"/>
        <v>WO 2</v>
      </c>
      <c r="O16" s="9" t="str">
        <f t="shared" si="13"/>
        <v>Leo Carioca</v>
      </c>
      <c r="P16" s="9" t="str">
        <f t="shared" si="14"/>
        <v/>
      </c>
      <c r="Q16" s="9" t="str">
        <f t="shared" si="15"/>
        <v/>
      </c>
      <c r="R16" s="9" t="str">
        <f t="shared" si="16"/>
        <v>WO 2</v>
      </c>
      <c r="S16" s="9" t="str">
        <f t="shared" si="17"/>
        <v>Leo Carioca</v>
      </c>
      <c r="T16" s="9">
        <f t="shared" si="18"/>
        <v>1</v>
      </c>
      <c r="U16" s="9" t="str">
        <f t="shared" si="19"/>
        <v>WO 2</v>
      </c>
      <c r="V16" s="9">
        <f t="shared" si="20"/>
        <v>0</v>
      </c>
      <c r="W16" s="9">
        <f t="shared" si="21"/>
        <v>1</v>
      </c>
    </row>
    <row r="17" spans="1:23" x14ac:dyDescent="0.25">
      <c r="A17" s="8">
        <v>9</v>
      </c>
      <c r="B17" s="19" t="str">
        <f>VLOOKUP($A17, Equipes!$A$3:$B$18, 2, FALSE)</f>
        <v>Professor</v>
      </c>
      <c r="C17" s="18">
        <v>0</v>
      </c>
      <c r="D17" s="20" t="s">
        <v>21</v>
      </c>
      <c r="E17" s="18">
        <v>2</v>
      </c>
      <c r="F17" s="21" t="str">
        <f>VLOOKUP($G17, Equipes!$A$3:$B$18, 2, FALSE)</f>
        <v>DJ Iury</v>
      </c>
      <c r="G17" s="22">
        <v>12</v>
      </c>
      <c r="H17" s="19">
        <v>3</v>
      </c>
      <c r="I17" s="19" t="s">
        <v>24</v>
      </c>
      <c r="J17" s="19">
        <v>2</v>
      </c>
      <c r="K17" s="19"/>
      <c r="M17" s="9" t="str">
        <f t="shared" si="11"/>
        <v>Professor</v>
      </c>
      <c r="N17" s="9" t="str">
        <f t="shared" si="12"/>
        <v>DJ Iury</v>
      </c>
      <c r="O17" s="9" t="str">
        <f t="shared" si="13"/>
        <v>DJ Iury</v>
      </c>
      <c r="P17" s="9" t="str">
        <f t="shared" si="14"/>
        <v/>
      </c>
      <c r="Q17" s="9" t="str">
        <f t="shared" si="15"/>
        <v/>
      </c>
      <c r="R17" s="9" t="str">
        <f t="shared" si="16"/>
        <v>Professor</v>
      </c>
      <c r="S17" s="9" t="str">
        <f t="shared" si="17"/>
        <v>Professor</v>
      </c>
      <c r="T17" s="9">
        <f t="shared" si="18"/>
        <v>0</v>
      </c>
      <c r="U17" s="9" t="str">
        <f t="shared" si="19"/>
        <v>DJ Iury</v>
      </c>
      <c r="V17" s="9">
        <f t="shared" si="20"/>
        <v>2</v>
      </c>
      <c r="W17" s="9">
        <f t="shared" si="21"/>
        <v>0</v>
      </c>
    </row>
    <row r="18" spans="1:23" x14ac:dyDescent="0.25">
      <c r="A18" s="8">
        <v>11</v>
      </c>
      <c r="B18" s="9" t="str">
        <f>VLOOKUP($A18, Equipes!$A$3:$B$18, 2, FALSE)</f>
        <v>Cristiano</v>
      </c>
      <c r="C18" s="18">
        <v>1</v>
      </c>
      <c r="D18" s="10" t="s">
        <v>21</v>
      </c>
      <c r="E18" s="18">
        <v>0</v>
      </c>
      <c r="F18" s="11" t="str">
        <f>VLOOKUP($G18, Equipes!$A$3:$B$18, 2, FALSE)</f>
        <v>WO 3</v>
      </c>
      <c r="G18" s="8">
        <v>10</v>
      </c>
      <c r="H18" s="9">
        <v>2</v>
      </c>
      <c r="I18" s="9" t="s">
        <v>24</v>
      </c>
      <c r="J18" s="9">
        <v>2</v>
      </c>
      <c r="M18" s="9" t="str">
        <f t="shared" si="11"/>
        <v>Cristiano</v>
      </c>
      <c r="N18" s="9" t="str">
        <f t="shared" si="12"/>
        <v>WO 3</v>
      </c>
      <c r="O18" s="9" t="str">
        <f t="shared" si="13"/>
        <v>Cristiano</v>
      </c>
      <c r="P18" s="9" t="str">
        <f t="shared" si="14"/>
        <v/>
      </c>
      <c r="Q18" s="9" t="str">
        <f t="shared" si="15"/>
        <v/>
      </c>
      <c r="R18" s="9" t="str">
        <f t="shared" si="16"/>
        <v>WO 3</v>
      </c>
      <c r="S18" s="9" t="str">
        <f t="shared" si="17"/>
        <v>Cristiano</v>
      </c>
      <c r="T18" s="9">
        <f t="shared" si="18"/>
        <v>1</v>
      </c>
      <c r="U18" s="9" t="str">
        <f t="shared" si="19"/>
        <v>WO 3</v>
      </c>
      <c r="V18" s="9">
        <f t="shared" si="20"/>
        <v>0</v>
      </c>
      <c r="W18" s="9">
        <f t="shared" si="21"/>
        <v>1</v>
      </c>
    </row>
    <row r="19" spans="1:23" x14ac:dyDescent="0.25">
      <c r="A19" s="8">
        <v>13</v>
      </c>
      <c r="B19" s="19" t="str">
        <f>VLOOKUP($A19, Equipes!$A$3:$B$18, 2, FALSE)</f>
        <v>Rafael Balieiro</v>
      </c>
      <c r="C19" s="18">
        <v>0</v>
      </c>
      <c r="D19" s="20" t="s">
        <v>21</v>
      </c>
      <c r="E19" s="18">
        <v>1</v>
      </c>
      <c r="F19" s="21" t="str">
        <f>VLOOKUP($G19, Equipes!$A$3:$B$18, 2, FALSE)</f>
        <v>Pepe</v>
      </c>
      <c r="G19" s="22">
        <v>16</v>
      </c>
      <c r="H19" s="19">
        <v>7</v>
      </c>
      <c r="I19" s="19" t="s">
        <v>16</v>
      </c>
      <c r="J19" s="19">
        <v>2</v>
      </c>
      <c r="K19" s="19"/>
      <c r="M19" s="9" t="str">
        <f t="shared" si="11"/>
        <v>Rafael Balieiro</v>
      </c>
      <c r="N19" s="9" t="str">
        <f t="shared" si="12"/>
        <v>Pepe</v>
      </c>
      <c r="O19" s="9" t="str">
        <f t="shared" si="13"/>
        <v>Pepe</v>
      </c>
      <c r="P19" s="9" t="str">
        <f t="shared" si="14"/>
        <v/>
      </c>
      <c r="Q19" s="9" t="str">
        <f t="shared" si="15"/>
        <v/>
      </c>
      <c r="R19" s="9" t="str">
        <f t="shared" si="16"/>
        <v>Rafael Balieiro</v>
      </c>
      <c r="S19" s="9" t="str">
        <f t="shared" si="17"/>
        <v>Rafael Balieiro</v>
      </c>
      <c r="T19" s="9">
        <f t="shared" si="18"/>
        <v>0</v>
      </c>
      <c r="U19" s="9" t="str">
        <f t="shared" si="19"/>
        <v>Pepe</v>
      </c>
      <c r="V19" s="9">
        <f t="shared" si="20"/>
        <v>1</v>
      </c>
      <c r="W19" s="9">
        <f t="shared" si="21"/>
        <v>0</v>
      </c>
    </row>
    <row r="20" spans="1:23" x14ac:dyDescent="0.25">
      <c r="A20" s="8">
        <v>15</v>
      </c>
      <c r="B20" s="9" t="str">
        <f>VLOOKUP($A20, Equipes!$A$3:$B$18, 2, FALSE)</f>
        <v>Mura</v>
      </c>
      <c r="C20" s="18">
        <v>2</v>
      </c>
      <c r="D20" s="10" t="s">
        <v>21</v>
      </c>
      <c r="E20" s="18">
        <v>1</v>
      </c>
      <c r="F20" s="11" t="str">
        <f>VLOOKUP($G20, Equipes!$A$3:$B$18, 2, FALSE)</f>
        <v>Luiz Moreira</v>
      </c>
      <c r="G20" s="8">
        <v>14</v>
      </c>
      <c r="H20" s="9">
        <v>1</v>
      </c>
      <c r="I20" s="9" t="s">
        <v>16</v>
      </c>
      <c r="J20" s="9">
        <v>2</v>
      </c>
      <c r="M20" s="9" t="str">
        <f t="shared" si="11"/>
        <v>Mura</v>
      </c>
      <c r="N20" s="9" t="str">
        <f t="shared" si="12"/>
        <v>Luiz Moreira</v>
      </c>
      <c r="O20" s="9" t="str">
        <f t="shared" si="13"/>
        <v>Mura</v>
      </c>
      <c r="P20" s="9" t="str">
        <f t="shared" si="14"/>
        <v/>
      </c>
      <c r="Q20" s="9" t="str">
        <f t="shared" si="15"/>
        <v/>
      </c>
      <c r="R20" s="9" t="str">
        <f t="shared" si="16"/>
        <v>Luiz Moreira</v>
      </c>
      <c r="S20" s="9" t="str">
        <f t="shared" si="17"/>
        <v>Mura</v>
      </c>
      <c r="T20" s="9">
        <f t="shared" si="18"/>
        <v>2</v>
      </c>
      <c r="U20" s="9" t="str">
        <f t="shared" si="19"/>
        <v>Luiz Moreira</v>
      </c>
      <c r="V20" s="9">
        <f t="shared" si="20"/>
        <v>1</v>
      </c>
      <c r="W20" s="9">
        <f t="shared" si="21"/>
        <v>2</v>
      </c>
    </row>
    <row r="21" spans="1:23" x14ac:dyDescent="0.25">
      <c r="B21" s="13" t="s">
        <v>26</v>
      </c>
      <c r="C21" s="14"/>
      <c r="D21" s="14"/>
      <c r="E21" s="14"/>
      <c r="F21" s="15"/>
      <c r="G21" s="16"/>
      <c r="H21" s="13" t="s">
        <v>10</v>
      </c>
      <c r="I21" s="13" t="s">
        <v>11</v>
      </c>
      <c r="J21" s="13" t="s">
        <v>12</v>
      </c>
      <c r="K21" s="17">
        <f>K3 + TIME(0,40,0)</f>
        <v>44969.506944444445</v>
      </c>
      <c r="M21" s="12" t="s">
        <v>13</v>
      </c>
      <c r="N21" s="12" t="s">
        <v>13</v>
      </c>
      <c r="O21" s="12" t="s">
        <v>14</v>
      </c>
      <c r="P21" s="12" t="s">
        <v>15</v>
      </c>
      <c r="Q21" s="12" t="s">
        <v>15</v>
      </c>
      <c r="R21" s="12" t="s">
        <v>16</v>
      </c>
      <c r="S21" s="12" t="s">
        <v>17</v>
      </c>
      <c r="T21" s="12" t="s">
        <v>18</v>
      </c>
      <c r="U21" s="12" t="s">
        <v>14</v>
      </c>
      <c r="V21" s="12" t="s">
        <v>19</v>
      </c>
      <c r="W21" s="12" t="s">
        <v>20</v>
      </c>
    </row>
    <row r="22" spans="1:23" x14ac:dyDescent="0.25">
      <c r="A22" s="8">
        <v>1</v>
      </c>
      <c r="B22" s="9" t="str">
        <f>VLOOKUP($A22, Equipes!$A$3:$B$18, 2, FALSE)</f>
        <v>Luiz Coelho</v>
      </c>
      <c r="C22" s="18">
        <v>0</v>
      </c>
      <c r="D22" s="10" t="s">
        <v>21</v>
      </c>
      <c r="E22" s="18">
        <v>2</v>
      </c>
      <c r="F22" s="11" t="str">
        <f>VLOOKUP($G22, Equipes!$A$3:$B$18, 2, FALSE)</f>
        <v>Sallys</v>
      </c>
      <c r="G22" s="8">
        <v>2</v>
      </c>
      <c r="H22" s="9">
        <v>1</v>
      </c>
      <c r="I22" s="9" t="s">
        <v>22</v>
      </c>
      <c r="J22" s="9">
        <v>3</v>
      </c>
      <c r="M22" s="9" t="str">
        <f t="shared" ref="M22:M29" si="22">IF(OR(C22 = "",E22 = ""), "", B22)</f>
        <v>Luiz Coelho</v>
      </c>
      <c r="N22" s="9" t="str">
        <f t="shared" ref="N22:N29" si="23">IF(OR(C22 = "",E22 = ""), "", F22)</f>
        <v>Sallys</v>
      </c>
      <c r="O22" s="9" t="str">
        <f t="shared" ref="O22:O29" si="24">IF(C22&gt;E22,B22, IF(E22&gt;C22,F22, ""))</f>
        <v>Sallys</v>
      </c>
      <c r="P22" s="9" t="str">
        <f t="shared" ref="P22:P29" si="25">IF(OR(C22 = "",E22 = ""), "", IF(C22=E22,B22, ""))</f>
        <v/>
      </c>
      <c r="Q22" s="9" t="str">
        <f t="shared" ref="Q22:Q29" si="26">IF(OR(C22 = "",E22 = ""), "", IF(C22=E22,F22, ""))</f>
        <v/>
      </c>
      <c r="R22" s="9" t="str">
        <f t="shared" ref="R22:R29" si="27">IF(C22&gt;E22,F22, IF(E22&gt;C22,B22, ""))</f>
        <v>Luiz Coelho</v>
      </c>
      <c r="S22" s="9" t="str">
        <f t="shared" ref="S22:S29" si="28">IF(OR(C22 = "",E22 = ""), "", B22)</f>
        <v>Luiz Coelho</v>
      </c>
      <c r="T22" s="9">
        <f t="shared" ref="T22:T29" si="29">IF(C22 = "", "", C22)</f>
        <v>0</v>
      </c>
      <c r="U22" s="9" t="str">
        <f t="shared" ref="U22:U29" si="30">IF(OR(C22 = "",E22 = ""), "", F22)</f>
        <v>Sallys</v>
      </c>
      <c r="V22" s="9">
        <f t="shared" ref="V22:V29" si="31">IF(E22 = "", "", E22)</f>
        <v>2</v>
      </c>
      <c r="W22" s="9">
        <f t="shared" ref="W22:W29" si="32">IF(C22 = "", "", C22)</f>
        <v>0</v>
      </c>
    </row>
    <row r="23" spans="1:23" x14ac:dyDescent="0.25">
      <c r="A23" s="8">
        <v>4</v>
      </c>
      <c r="B23" s="19" t="str">
        <f>VLOOKUP($A23, Equipes!$A$3:$B$18, 2, FALSE)</f>
        <v>WO 1</v>
      </c>
      <c r="C23" s="18">
        <v>0</v>
      </c>
      <c r="D23" s="20" t="s">
        <v>21</v>
      </c>
      <c r="E23" s="18">
        <v>1</v>
      </c>
      <c r="F23" s="21" t="str">
        <f>VLOOKUP($G23, Equipes!$A$3:$B$18, 2, FALSE)</f>
        <v>Andre Coelho</v>
      </c>
      <c r="G23" s="22">
        <v>3</v>
      </c>
      <c r="H23" s="19">
        <v>5</v>
      </c>
      <c r="I23" s="19" t="s">
        <v>22</v>
      </c>
      <c r="J23" s="19">
        <v>3</v>
      </c>
      <c r="K23" s="19"/>
      <c r="M23" s="9" t="str">
        <f t="shared" si="22"/>
        <v>WO 1</v>
      </c>
      <c r="N23" s="9" t="str">
        <f t="shared" si="23"/>
        <v>Andre Coelho</v>
      </c>
      <c r="O23" s="9" t="str">
        <f t="shared" si="24"/>
        <v>Andre Coelho</v>
      </c>
      <c r="P23" s="9" t="str">
        <f t="shared" si="25"/>
        <v/>
      </c>
      <c r="Q23" s="9" t="str">
        <f t="shared" si="26"/>
        <v/>
      </c>
      <c r="R23" s="9" t="str">
        <f t="shared" si="27"/>
        <v>WO 1</v>
      </c>
      <c r="S23" s="9" t="str">
        <f t="shared" si="28"/>
        <v>WO 1</v>
      </c>
      <c r="T23" s="9">
        <f t="shared" si="29"/>
        <v>0</v>
      </c>
      <c r="U23" s="9" t="str">
        <f t="shared" si="30"/>
        <v>Andre Coelho</v>
      </c>
      <c r="V23" s="9">
        <f t="shared" si="31"/>
        <v>1</v>
      </c>
      <c r="W23" s="9">
        <f t="shared" si="32"/>
        <v>0</v>
      </c>
    </row>
    <row r="24" spans="1:23" x14ac:dyDescent="0.25">
      <c r="A24" s="8">
        <v>5</v>
      </c>
      <c r="B24" s="9" t="str">
        <f>VLOOKUP($A24, Equipes!$A$3:$B$18, 2, FALSE)</f>
        <v>Marielcio</v>
      </c>
      <c r="C24" s="18">
        <v>1</v>
      </c>
      <c r="D24" s="10" t="s">
        <v>21</v>
      </c>
      <c r="E24" s="18">
        <v>0</v>
      </c>
      <c r="F24" s="11" t="str">
        <f>VLOOKUP($G24, Equipes!$A$3:$B$18, 2, FALSE)</f>
        <v>WO 2</v>
      </c>
      <c r="G24" s="8">
        <v>6</v>
      </c>
      <c r="H24" s="9">
        <v>4</v>
      </c>
      <c r="I24" s="9" t="s">
        <v>23</v>
      </c>
      <c r="J24" s="9">
        <v>3</v>
      </c>
      <c r="M24" s="9" t="str">
        <f t="shared" si="22"/>
        <v>Marielcio</v>
      </c>
      <c r="N24" s="9" t="str">
        <f t="shared" si="23"/>
        <v>WO 2</v>
      </c>
      <c r="O24" s="9" t="str">
        <f t="shared" si="24"/>
        <v>Marielcio</v>
      </c>
      <c r="P24" s="9" t="str">
        <f t="shared" si="25"/>
        <v/>
      </c>
      <c r="Q24" s="9" t="str">
        <f t="shared" si="26"/>
        <v/>
      </c>
      <c r="R24" s="9" t="str">
        <f t="shared" si="27"/>
        <v>WO 2</v>
      </c>
      <c r="S24" s="9" t="str">
        <f t="shared" si="28"/>
        <v>Marielcio</v>
      </c>
      <c r="T24" s="9">
        <f t="shared" si="29"/>
        <v>1</v>
      </c>
      <c r="U24" s="9" t="str">
        <f t="shared" si="30"/>
        <v>WO 2</v>
      </c>
      <c r="V24" s="9">
        <f t="shared" si="31"/>
        <v>0</v>
      </c>
      <c r="W24" s="9">
        <f t="shared" si="32"/>
        <v>1</v>
      </c>
    </row>
    <row r="25" spans="1:23" x14ac:dyDescent="0.25">
      <c r="A25" s="8">
        <v>8</v>
      </c>
      <c r="B25" s="19" t="str">
        <f>VLOOKUP($A25, Equipes!$A$3:$B$18, 2, FALSE)</f>
        <v>Reginaldo</v>
      </c>
      <c r="C25" s="18">
        <v>0</v>
      </c>
      <c r="D25" s="20" t="s">
        <v>21</v>
      </c>
      <c r="E25" s="18">
        <v>1</v>
      </c>
      <c r="F25" s="21" t="str">
        <f>VLOOKUP($G25, Equipes!$A$3:$B$18, 2, FALSE)</f>
        <v>Leo Carioca</v>
      </c>
      <c r="G25" s="22">
        <v>7</v>
      </c>
      <c r="H25" s="19">
        <v>7</v>
      </c>
      <c r="I25" s="19" t="s">
        <v>23</v>
      </c>
      <c r="J25" s="19">
        <v>3</v>
      </c>
      <c r="K25" s="19"/>
      <c r="M25" s="9" t="str">
        <f t="shared" si="22"/>
        <v>Reginaldo</v>
      </c>
      <c r="N25" s="9" t="str">
        <f t="shared" si="23"/>
        <v>Leo Carioca</v>
      </c>
      <c r="O25" s="9" t="str">
        <f t="shared" si="24"/>
        <v>Leo Carioca</v>
      </c>
      <c r="P25" s="9" t="str">
        <f t="shared" si="25"/>
        <v/>
      </c>
      <c r="Q25" s="9" t="str">
        <f t="shared" si="26"/>
        <v/>
      </c>
      <c r="R25" s="9" t="str">
        <f t="shared" si="27"/>
        <v>Reginaldo</v>
      </c>
      <c r="S25" s="9" t="str">
        <f t="shared" si="28"/>
        <v>Reginaldo</v>
      </c>
      <c r="T25" s="9">
        <f t="shared" si="29"/>
        <v>0</v>
      </c>
      <c r="U25" s="9" t="str">
        <f t="shared" si="30"/>
        <v>Leo Carioca</v>
      </c>
      <c r="V25" s="9">
        <f t="shared" si="31"/>
        <v>1</v>
      </c>
      <c r="W25" s="9">
        <f t="shared" si="32"/>
        <v>0</v>
      </c>
    </row>
    <row r="26" spans="1:23" x14ac:dyDescent="0.25">
      <c r="A26" s="8">
        <v>9</v>
      </c>
      <c r="B26" s="9" t="str">
        <f>VLOOKUP($A26, Equipes!$A$3:$B$18, 2, FALSE)</f>
        <v>Professor</v>
      </c>
      <c r="C26" s="18">
        <v>1</v>
      </c>
      <c r="D26" s="10" t="s">
        <v>21</v>
      </c>
      <c r="E26" s="18">
        <v>0</v>
      </c>
      <c r="F26" s="11" t="str">
        <f>VLOOKUP($G26, Equipes!$A$3:$B$18, 2, FALSE)</f>
        <v>WO 3</v>
      </c>
      <c r="G26" s="8">
        <v>10</v>
      </c>
      <c r="H26" s="9">
        <v>3</v>
      </c>
      <c r="I26" s="9" t="s">
        <v>24</v>
      </c>
      <c r="J26" s="9">
        <v>3</v>
      </c>
      <c r="M26" s="9" t="str">
        <f t="shared" si="22"/>
        <v>Professor</v>
      </c>
      <c r="N26" s="9" t="str">
        <f t="shared" si="23"/>
        <v>WO 3</v>
      </c>
      <c r="O26" s="9" t="str">
        <f t="shared" si="24"/>
        <v>Professor</v>
      </c>
      <c r="P26" s="9" t="str">
        <f t="shared" si="25"/>
        <v/>
      </c>
      <c r="Q26" s="9" t="str">
        <f t="shared" si="26"/>
        <v/>
      </c>
      <c r="R26" s="9" t="str">
        <f t="shared" si="27"/>
        <v>WO 3</v>
      </c>
      <c r="S26" s="9" t="str">
        <f t="shared" si="28"/>
        <v>Professor</v>
      </c>
      <c r="T26" s="9">
        <f t="shared" si="29"/>
        <v>1</v>
      </c>
      <c r="U26" s="9" t="str">
        <f t="shared" si="30"/>
        <v>WO 3</v>
      </c>
      <c r="V26" s="9">
        <f t="shared" si="31"/>
        <v>0</v>
      </c>
      <c r="W26" s="9">
        <f t="shared" si="32"/>
        <v>1</v>
      </c>
    </row>
    <row r="27" spans="1:23" x14ac:dyDescent="0.25">
      <c r="A27" s="8">
        <v>12</v>
      </c>
      <c r="B27" s="19" t="str">
        <f>VLOOKUP($A27, Equipes!$A$3:$B$18, 2, FALSE)</f>
        <v>DJ Iury</v>
      </c>
      <c r="C27" s="18">
        <v>1</v>
      </c>
      <c r="D27" s="20" t="s">
        <v>21</v>
      </c>
      <c r="E27" s="18">
        <v>0</v>
      </c>
      <c r="F27" s="21" t="str">
        <f>VLOOKUP($G27, Equipes!$A$3:$B$18, 2, FALSE)</f>
        <v>Cristiano</v>
      </c>
      <c r="G27" s="22">
        <v>11</v>
      </c>
      <c r="H27" s="19">
        <v>6</v>
      </c>
      <c r="I27" s="19" t="s">
        <v>24</v>
      </c>
      <c r="J27" s="19">
        <v>3</v>
      </c>
      <c r="K27" s="19"/>
      <c r="M27" s="9" t="str">
        <f t="shared" si="22"/>
        <v>DJ Iury</v>
      </c>
      <c r="N27" s="9" t="str">
        <f t="shared" si="23"/>
        <v>Cristiano</v>
      </c>
      <c r="O27" s="9" t="str">
        <f t="shared" si="24"/>
        <v>DJ Iury</v>
      </c>
      <c r="P27" s="9" t="str">
        <f t="shared" si="25"/>
        <v/>
      </c>
      <c r="Q27" s="9" t="str">
        <f t="shared" si="26"/>
        <v/>
      </c>
      <c r="R27" s="9" t="str">
        <f t="shared" si="27"/>
        <v>Cristiano</v>
      </c>
      <c r="S27" s="9" t="str">
        <f t="shared" si="28"/>
        <v>DJ Iury</v>
      </c>
      <c r="T27" s="9">
        <f t="shared" si="29"/>
        <v>1</v>
      </c>
      <c r="U27" s="9" t="str">
        <f t="shared" si="30"/>
        <v>Cristiano</v>
      </c>
      <c r="V27" s="9">
        <f t="shared" si="31"/>
        <v>0</v>
      </c>
      <c r="W27" s="9">
        <f t="shared" si="32"/>
        <v>1</v>
      </c>
    </row>
    <row r="28" spans="1:23" x14ac:dyDescent="0.25">
      <c r="A28" s="8">
        <v>13</v>
      </c>
      <c r="B28" s="9" t="str">
        <f>VLOOKUP($A28, Equipes!$A$3:$B$18, 2, FALSE)</f>
        <v>Rafael Balieiro</v>
      </c>
      <c r="C28" s="18">
        <v>2</v>
      </c>
      <c r="D28" s="10" t="s">
        <v>21</v>
      </c>
      <c r="E28" s="18">
        <v>3</v>
      </c>
      <c r="F28" s="11" t="str">
        <f>VLOOKUP($G28, Equipes!$A$3:$B$18, 2, FALSE)</f>
        <v>Luiz Moreira</v>
      </c>
      <c r="G28" s="8">
        <v>14</v>
      </c>
      <c r="H28" s="9">
        <v>2</v>
      </c>
      <c r="I28" s="9" t="s">
        <v>16</v>
      </c>
      <c r="J28" s="9">
        <v>3</v>
      </c>
      <c r="M28" s="9" t="str">
        <f t="shared" si="22"/>
        <v>Rafael Balieiro</v>
      </c>
      <c r="N28" s="9" t="str">
        <f t="shared" si="23"/>
        <v>Luiz Moreira</v>
      </c>
      <c r="O28" s="9" t="str">
        <f t="shared" si="24"/>
        <v>Luiz Moreira</v>
      </c>
      <c r="P28" s="9" t="str">
        <f t="shared" si="25"/>
        <v/>
      </c>
      <c r="Q28" s="9" t="str">
        <f t="shared" si="26"/>
        <v/>
      </c>
      <c r="R28" s="9" t="str">
        <f t="shared" si="27"/>
        <v>Rafael Balieiro</v>
      </c>
      <c r="S28" s="9" t="str">
        <f t="shared" si="28"/>
        <v>Rafael Balieiro</v>
      </c>
      <c r="T28" s="9">
        <f t="shared" si="29"/>
        <v>2</v>
      </c>
      <c r="U28" s="9" t="str">
        <f t="shared" si="30"/>
        <v>Luiz Moreira</v>
      </c>
      <c r="V28" s="9">
        <f t="shared" si="31"/>
        <v>3</v>
      </c>
      <c r="W28" s="9">
        <f t="shared" si="32"/>
        <v>2</v>
      </c>
    </row>
    <row r="29" spans="1:23" x14ac:dyDescent="0.25">
      <c r="A29" s="8">
        <v>16</v>
      </c>
      <c r="B29" s="19" t="str">
        <f>VLOOKUP($A29, Equipes!$A$3:$B$18, 2, FALSE)</f>
        <v>Pepe</v>
      </c>
      <c r="C29" s="18">
        <v>0</v>
      </c>
      <c r="D29" s="20" t="s">
        <v>21</v>
      </c>
      <c r="E29" s="18">
        <v>0</v>
      </c>
      <c r="F29" s="21" t="str">
        <f>VLOOKUP($G29, Equipes!$A$3:$B$18, 2, FALSE)</f>
        <v>Mura</v>
      </c>
      <c r="G29" s="22">
        <v>15</v>
      </c>
      <c r="H29" s="19">
        <v>8</v>
      </c>
      <c r="I29" s="19" t="s">
        <v>16</v>
      </c>
      <c r="J29" s="19">
        <v>3</v>
      </c>
      <c r="K29" s="19"/>
      <c r="M29" s="9" t="str">
        <f t="shared" si="22"/>
        <v>Pepe</v>
      </c>
      <c r="N29" s="9" t="str">
        <f t="shared" si="23"/>
        <v>Mura</v>
      </c>
      <c r="O29" s="9" t="str">
        <f t="shared" si="24"/>
        <v/>
      </c>
      <c r="P29" s="9" t="str">
        <f t="shared" si="25"/>
        <v>Pepe</v>
      </c>
      <c r="Q29" s="9" t="str">
        <f t="shared" si="26"/>
        <v>Mura</v>
      </c>
      <c r="R29" s="9" t="str">
        <f t="shared" si="27"/>
        <v/>
      </c>
      <c r="S29" s="9" t="str">
        <f t="shared" si="28"/>
        <v>Pepe</v>
      </c>
      <c r="T29" s="9">
        <f t="shared" si="29"/>
        <v>0</v>
      </c>
      <c r="U29" s="9" t="str">
        <f t="shared" si="30"/>
        <v>Mura</v>
      </c>
      <c r="V29" s="9">
        <f t="shared" si="31"/>
        <v>0</v>
      </c>
      <c r="W29" s="9">
        <f t="shared" si="32"/>
        <v>0</v>
      </c>
    </row>
  </sheetData>
  <sheetProtection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workbookViewId="0">
      <pane ySplit="1" topLeftCell="A2" activePane="bottomLeft" state="frozen"/>
      <selection pane="bottomLeft" activeCell="A3" sqref="A3"/>
    </sheetView>
  </sheetViews>
  <sheetFormatPr defaultColWidth="10.875" defaultRowHeight="10.5" x14ac:dyDescent="0.15"/>
  <cols>
    <col min="1" max="1" width="5.125" style="25" customWidth="1"/>
    <col min="2" max="2" width="3.625" style="25" customWidth="1"/>
    <col min="3" max="3" width="7.375" style="25" customWidth="1"/>
    <col min="4" max="4" width="20.875" style="26" customWidth="1"/>
    <col min="5" max="13" width="7.375" style="25" customWidth="1"/>
    <col min="14" max="14" width="10.875" style="25"/>
    <col min="15" max="17" width="10.875" style="27"/>
    <col min="18" max="16384" width="10.875" style="24"/>
  </cols>
  <sheetData>
    <row r="1" spans="1:19" ht="20.25" x14ac:dyDescent="0.3">
      <c r="B1" s="2" t="s">
        <v>27</v>
      </c>
      <c r="S1" s="24" t="s">
        <v>36</v>
      </c>
    </row>
    <row r="2" spans="1:19" ht="12.75" x14ac:dyDescent="0.2">
      <c r="B2" s="3" t="s">
        <v>1</v>
      </c>
      <c r="S2" s="24">
        <f>SUM($G$6:$G$27)</f>
        <v>48</v>
      </c>
    </row>
    <row r="3" spans="1:19" x14ac:dyDescent="0.15">
      <c r="E3" s="28">
        <v>100000000</v>
      </c>
      <c r="F3" s="28">
        <v>100000</v>
      </c>
      <c r="H3" s="28">
        <v>10000</v>
      </c>
      <c r="K3" s="28">
        <v>1</v>
      </c>
      <c r="M3" s="28">
        <v>100</v>
      </c>
    </row>
    <row r="5" spans="1:19" ht="25.5" x14ac:dyDescent="0.5">
      <c r="A5" s="25" t="s">
        <v>28</v>
      </c>
      <c r="B5" s="25" t="s">
        <v>22</v>
      </c>
      <c r="C5" s="29" t="s">
        <v>22</v>
      </c>
      <c r="D5" s="30" t="s">
        <v>29</v>
      </c>
      <c r="E5" s="32" t="s">
        <v>30</v>
      </c>
      <c r="F5" s="32" t="s">
        <v>31</v>
      </c>
      <c r="G5" s="32" t="s">
        <v>13</v>
      </c>
      <c r="H5" s="32" t="s">
        <v>14</v>
      </c>
      <c r="I5" s="32" t="s">
        <v>15</v>
      </c>
      <c r="J5" s="32" t="s">
        <v>16</v>
      </c>
      <c r="K5" s="32" t="s">
        <v>32</v>
      </c>
      <c r="L5" s="32" t="s">
        <v>33</v>
      </c>
      <c r="M5" s="32" t="s">
        <v>34</v>
      </c>
      <c r="N5" s="31" t="s">
        <v>35</v>
      </c>
    </row>
    <row r="6" spans="1:19" x14ac:dyDescent="0.15">
      <c r="A6" s="25" t="str">
        <f ca="1">CONCATENATE(C6,B6)</f>
        <v>3A</v>
      </c>
      <c r="B6" s="25" t="s">
        <v>22</v>
      </c>
      <c r="C6" s="25">
        <f ca="1">IF(SUM($G$6:$G$9)=0,0,_xlfn.RANK.EQ(N6,$N$6:$N$9))</f>
        <v>3</v>
      </c>
      <c r="D6" s="26" t="str">
        <f>VLOOKUP($O6, Equipes!$A$3:$B$18, 2, FALSE)</f>
        <v>Luiz Coelho</v>
      </c>
      <c r="E6" s="33">
        <f>IF(G6=0,0,(F6)/(G6*3))</f>
        <v>0.44444444444444442</v>
      </c>
      <c r="F6" s="25">
        <f>(H6*3)+(I6*1)</f>
        <v>4</v>
      </c>
      <c r="G6" s="25">
        <f>COUNTIF(Jogos!$M$1:$N$29, $D6)</f>
        <v>3</v>
      </c>
      <c r="H6" s="25">
        <f>COUNTIF(Jogos!$O$1:$O$29, $D6)</f>
        <v>1</v>
      </c>
      <c r="I6" s="25">
        <f>COUNTIF(Jogos!$P$1:$Q$29, $D6)</f>
        <v>1</v>
      </c>
      <c r="J6" s="25">
        <f>COUNTIF(Jogos!$R$1:$R$29, $D6)</f>
        <v>1</v>
      </c>
      <c r="K6" s="25">
        <f ca="1">SUMIF(Jogos!$S$1:$T$29, $D6, Jogos!$T$1:$T$29)+SUMIF(Jogos!$U$1:$V$29, $D6, Jogos!$V$1:$V$29)</f>
        <v>1</v>
      </c>
      <c r="L6" s="25">
        <f ca="1">SUMIF(Jogos!$S$1:$V$29, $D6, Jogos!$V$1:$V$29)+SUMIF(Jogos!$U$1:$W$29, $D6, Jogos!$W$1:$W$29)</f>
        <v>2</v>
      </c>
      <c r="M6" s="25">
        <f ca="1">K6-L6</f>
        <v>-1</v>
      </c>
      <c r="N6" s="25">
        <f ca="1">(E6*E$3+F6*F$3+H6*H$3+M6*M$3+K6*K$3)/(E$3/100)-ROW(N6)/E$3</f>
        <v>44.854345384444443</v>
      </c>
      <c r="O6" s="27">
        <v>1</v>
      </c>
      <c r="P6" s="27">
        <f ca="1">(E6*E$3+F6*F$3+H6*H$3+M6*M$3+K6*K$3)/(E$3/100)</f>
        <v>44.854345444444441</v>
      </c>
      <c r="Q6" s="27">
        <f ca="1">IF(SUM($G$6:$G$9)=0,0,_xlfn.RANK.EQ(P6,$P$6:$P$9))</f>
        <v>3</v>
      </c>
    </row>
    <row r="7" spans="1:19" x14ac:dyDescent="0.15">
      <c r="A7" s="25" t="str">
        <f ca="1">CONCATENATE(C7,B7)</f>
        <v>1A</v>
      </c>
      <c r="B7" s="25" t="s">
        <v>22</v>
      </c>
      <c r="C7" s="25">
        <f ca="1">IF(SUM($G$6:$G$9)=0,0,_xlfn.RANK.EQ(N7,$N$6:$N$9))</f>
        <v>1</v>
      </c>
      <c r="D7" s="26" t="str">
        <f>VLOOKUP($O7, Equipes!$A$3:$B$18, 2, FALSE)</f>
        <v>Sallys</v>
      </c>
      <c r="E7" s="33">
        <f>IF(G7=0,0,(F7)/(G7*3))</f>
        <v>1</v>
      </c>
      <c r="F7" s="25">
        <f>(H7*3)+(I7*1)</f>
        <v>9</v>
      </c>
      <c r="G7" s="25">
        <f>COUNTIF(Jogos!$M$1:$N$29, $D7)</f>
        <v>3</v>
      </c>
      <c r="H7" s="25">
        <f>COUNTIF(Jogos!$O$1:$O$29, $D7)</f>
        <v>3</v>
      </c>
      <c r="I7" s="25">
        <f>COUNTIF(Jogos!$P$1:$Q$29, $D7)</f>
        <v>0</v>
      </c>
      <c r="J7" s="25">
        <f>COUNTIF(Jogos!$R$1:$R$29, $D7)</f>
        <v>0</v>
      </c>
      <c r="K7" s="25">
        <f ca="1">SUMIF(Jogos!$S$1:$T$29, $D7, Jogos!$T$1:$T$29)+SUMIF(Jogos!$U$1:$V$29, $D7, Jogos!$V$1:$V$29)</f>
        <v>5</v>
      </c>
      <c r="L7" s="25">
        <f ca="1">SUMIF(Jogos!$S$1:$V$29, $D7, Jogos!$V$1:$V$29)+SUMIF(Jogos!$U$1:$W$29, $D7, Jogos!$W$1:$W$29)</f>
        <v>1</v>
      </c>
      <c r="M7" s="25">
        <f ca="1">K7-L7</f>
        <v>4</v>
      </c>
      <c r="N7" s="25">
        <f ca="1">(E7*E$3+F7*F$3+H7*H$3+M7*M$3+K7*K$3)/(E$3/100)-ROW(N7)/E$3</f>
        <v>100.93040492999999</v>
      </c>
      <c r="O7" s="27">
        <v>2</v>
      </c>
      <c r="P7" s="27">
        <f ca="1">(E7*E$3+F7*F$3+H7*H$3+M7*M$3+K7*K$3)/(E$3/100)</f>
        <v>100.93040499999999</v>
      </c>
      <c r="Q7" s="27">
        <f ca="1">IF(SUM($G$6:$G$9)=0,0,_xlfn.RANK.EQ(P7,$P$6:$P$9))</f>
        <v>1</v>
      </c>
    </row>
    <row r="8" spans="1:19" x14ac:dyDescent="0.15">
      <c r="A8" s="25" t="str">
        <f ca="1">CONCATENATE(C8,B8)</f>
        <v>2A</v>
      </c>
      <c r="B8" s="25" t="s">
        <v>22</v>
      </c>
      <c r="C8" s="25">
        <f ca="1">IF(SUM($G$6:$G$9)=0,0,_xlfn.RANK.EQ(N8,$N$6:$N$9))</f>
        <v>2</v>
      </c>
      <c r="D8" s="26" t="str">
        <f>VLOOKUP($O8, Equipes!$A$3:$B$18, 2, FALSE)</f>
        <v>Andre Coelho</v>
      </c>
      <c r="E8" s="33">
        <f>IF(G8=0,0,(F8)/(G8*3))</f>
        <v>0.44444444444444442</v>
      </c>
      <c r="F8" s="25">
        <f>(H8*3)+(I8*1)</f>
        <v>4</v>
      </c>
      <c r="G8" s="25">
        <f>COUNTIF(Jogos!$M$1:$N$29, $D8)</f>
        <v>3</v>
      </c>
      <c r="H8" s="25">
        <f>COUNTIF(Jogos!$O$1:$O$29, $D8)</f>
        <v>1</v>
      </c>
      <c r="I8" s="25">
        <f>COUNTIF(Jogos!$P$1:$Q$29, $D8)</f>
        <v>1</v>
      </c>
      <c r="J8" s="25">
        <f>COUNTIF(Jogos!$R$1:$R$29, $D8)</f>
        <v>1</v>
      </c>
      <c r="K8" s="25">
        <f ca="1">SUMIF(Jogos!$S$1:$T$29, $D8, Jogos!$T$1:$T$29)+SUMIF(Jogos!$U$1:$V$29, $D8, Jogos!$V$1:$V$29)</f>
        <v>2</v>
      </c>
      <c r="L8" s="25">
        <f ca="1">SUMIF(Jogos!$S$1:$V$29, $D8, Jogos!$V$1:$V$29)+SUMIF(Jogos!$U$1:$W$29, $D8, Jogos!$W$1:$W$29)</f>
        <v>2</v>
      </c>
      <c r="M8" s="25">
        <f ca="1">K8-L8</f>
        <v>0</v>
      </c>
      <c r="N8" s="25">
        <f ca="1">(E8*E$3+F8*F$3+H8*H$3+M8*M$3+K8*K$3)/(E$3/100)-ROW(N8)/E$3</f>
        <v>44.854446364444442</v>
      </c>
      <c r="O8" s="27">
        <v>3</v>
      </c>
      <c r="P8" s="27">
        <f ca="1">(E8*E$3+F8*F$3+H8*H$3+M8*M$3+K8*K$3)/(E$3/100)</f>
        <v>44.854446444444442</v>
      </c>
      <c r="Q8" s="27">
        <f ca="1">IF(SUM($G$6:$G$9)=0,0,_xlfn.RANK.EQ(P8,$P$6:$P$9))</f>
        <v>2</v>
      </c>
    </row>
    <row r="9" spans="1:19" x14ac:dyDescent="0.15">
      <c r="A9" s="25" t="str">
        <f ca="1">CONCATENATE(C9,B9)</f>
        <v>4A</v>
      </c>
      <c r="B9" s="25" t="s">
        <v>22</v>
      </c>
      <c r="C9" s="25">
        <f ca="1">IF(SUM($G$6:$G$9)=0,0,_xlfn.RANK.EQ(N9,$N$6:$N$9))</f>
        <v>4</v>
      </c>
      <c r="D9" s="26" t="str">
        <f>VLOOKUP($O9, Equipes!$A$3:$B$18, 2, FALSE)</f>
        <v>WO 1</v>
      </c>
      <c r="E9" s="33">
        <f>IF(G9=0,0,(F9)/(G9*3))</f>
        <v>0</v>
      </c>
      <c r="F9" s="25">
        <f>(H9*3)+(I9*1)</f>
        <v>0</v>
      </c>
      <c r="G9" s="25">
        <f>COUNTIF(Jogos!$M$1:$N$29, $D9)</f>
        <v>3</v>
      </c>
      <c r="H9" s="25">
        <f>COUNTIF(Jogos!$O$1:$O$29, $D9)</f>
        <v>0</v>
      </c>
      <c r="I9" s="25">
        <f>COUNTIF(Jogos!$P$1:$Q$29, $D9)</f>
        <v>0</v>
      </c>
      <c r="J9" s="25">
        <f>COUNTIF(Jogos!$R$1:$R$29, $D9)</f>
        <v>3</v>
      </c>
      <c r="K9" s="25">
        <f ca="1">SUMIF(Jogos!$S$1:$T$29, $D9, Jogos!$T$1:$T$29)+SUMIF(Jogos!$U$1:$V$29, $D9, Jogos!$V$1:$V$29)</f>
        <v>0</v>
      </c>
      <c r="L9" s="25">
        <f ca="1">SUMIF(Jogos!$S$1:$V$29, $D9, Jogos!$V$1:$V$29)+SUMIF(Jogos!$U$1:$W$29, $D9, Jogos!$W$1:$W$29)</f>
        <v>3</v>
      </c>
      <c r="M9" s="25">
        <f ca="1">K9-L9</f>
        <v>-3</v>
      </c>
      <c r="N9" s="25">
        <f ca="1">(E9*E$3+F9*F$3+H9*H$3+M9*M$3+K9*K$3)/(E$3/100)-ROW(N9)/E$3</f>
        <v>-3.0008999999999998E-4</v>
      </c>
      <c r="O9" s="27">
        <v>4</v>
      </c>
      <c r="P9" s="27">
        <f ca="1">(E9*E$3+F9*F$3+H9*H$3+M9*M$3+K9*K$3)/(E$3/100)</f>
        <v>-2.9999999999999997E-4</v>
      </c>
      <c r="Q9" s="27">
        <f ca="1">IF(SUM($G$6:$G$9)=0,0,_xlfn.RANK.EQ(P9,$P$6:$P$9))</f>
        <v>4</v>
      </c>
    </row>
    <row r="11" spans="1:19" ht="25.5" x14ac:dyDescent="0.5">
      <c r="A11" s="25" t="s">
        <v>28</v>
      </c>
      <c r="B11" s="25" t="s">
        <v>23</v>
      </c>
      <c r="C11" s="29" t="s">
        <v>23</v>
      </c>
      <c r="D11" s="30" t="s">
        <v>29</v>
      </c>
      <c r="E11" s="32" t="s">
        <v>30</v>
      </c>
      <c r="F11" s="32" t="s">
        <v>31</v>
      </c>
      <c r="G11" s="32" t="s">
        <v>13</v>
      </c>
      <c r="H11" s="32" t="s">
        <v>14</v>
      </c>
      <c r="I11" s="32" t="s">
        <v>15</v>
      </c>
      <c r="J11" s="32" t="s">
        <v>16</v>
      </c>
      <c r="K11" s="32" t="s">
        <v>32</v>
      </c>
      <c r="L11" s="32" t="s">
        <v>33</v>
      </c>
      <c r="M11" s="32" t="s">
        <v>34</v>
      </c>
      <c r="N11" s="31" t="s">
        <v>35</v>
      </c>
    </row>
    <row r="12" spans="1:19" x14ac:dyDescent="0.15">
      <c r="A12" s="25" t="str">
        <f ca="1">CONCATENATE(C12,B12)</f>
        <v>1B</v>
      </c>
      <c r="B12" s="25" t="s">
        <v>23</v>
      </c>
      <c r="C12" s="25">
        <f ca="1">IF(SUM($G$12:$G$15)=0,0,_xlfn.RANK.EQ(N12,$N$12:$N$15))</f>
        <v>1</v>
      </c>
      <c r="D12" s="26" t="str">
        <f>VLOOKUP($O12, Equipes!$A$3:$B$18, 2, FALSE)</f>
        <v>Marielcio</v>
      </c>
      <c r="E12" s="33">
        <f>IF(G12=0,0,(F12)/(G12*3))</f>
        <v>0.66666666666666663</v>
      </c>
      <c r="F12" s="25">
        <f>(H12*3)+(I12*1)</f>
        <v>6</v>
      </c>
      <c r="G12" s="25">
        <f>COUNTIF(Jogos!$M$1:$N$29, $D12)</f>
        <v>3</v>
      </c>
      <c r="H12" s="25">
        <f>COUNTIF(Jogos!$O$1:$O$29, $D12)</f>
        <v>2</v>
      </c>
      <c r="I12" s="25">
        <f>COUNTIF(Jogos!$P$1:$Q$29, $D12)</f>
        <v>0</v>
      </c>
      <c r="J12" s="25">
        <f>COUNTIF(Jogos!$R$1:$R$29, $D12)</f>
        <v>1</v>
      </c>
      <c r="K12" s="25">
        <f ca="1">SUMIF(Jogos!$S$1:$T$29, $D12, Jogos!$T$1:$T$29)+SUMIF(Jogos!$U$1:$V$29, $D12, Jogos!$V$1:$V$29)</f>
        <v>4</v>
      </c>
      <c r="L12" s="25">
        <f ca="1">SUMIF(Jogos!$S$1:$V$29, $D12, Jogos!$V$1:$V$29)+SUMIF(Jogos!$U$1:$W$29, $D12, Jogos!$W$1:$W$29)</f>
        <v>2</v>
      </c>
      <c r="M12" s="25">
        <f ca="1">K12-L12</f>
        <v>2</v>
      </c>
      <c r="N12" s="25">
        <f ca="1">(E12*E$3+F12*F$3+H12*H$3+M12*M$3+K12*K$3)/(E$3/100)-ROW(N12)/E$3</f>
        <v>67.286870546666663</v>
      </c>
      <c r="O12" s="27">
        <v>5</v>
      </c>
      <c r="P12" s="27">
        <f ca="1">(E12*E$3+F12*F$3+H12*H$3+M12*M$3+K12*K$3)/(E$3/100)</f>
        <v>67.286870666666658</v>
      </c>
      <c r="Q12" s="27">
        <f ca="1">IF(SUM($G$12:$G$15)=0,0,_xlfn.RANK.EQ(P12,$P$12:$P$15))</f>
        <v>1</v>
      </c>
    </row>
    <row r="13" spans="1:19" x14ac:dyDescent="0.15">
      <c r="A13" s="25" t="str">
        <f ca="1">CONCATENATE(C13,B13)</f>
        <v>4B</v>
      </c>
      <c r="B13" s="25" t="s">
        <v>23</v>
      </c>
      <c r="C13" s="25">
        <f ca="1">IF(SUM($G$12:$G$15)=0,0,_xlfn.RANK.EQ(N13,$N$12:$N$15))</f>
        <v>4</v>
      </c>
      <c r="D13" s="26" t="str">
        <f>VLOOKUP($O13, Equipes!$A$3:$B$18, 2, FALSE)</f>
        <v>WO 2</v>
      </c>
      <c r="E13" s="33">
        <f>IF(G13=0,0,(F13)/(G13*3))</f>
        <v>0</v>
      </c>
      <c r="F13" s="25">
        <f>(H13*3)+(I13*1)</f>
        <v>0</v>
      </c>
      <c r="G13" s="25">
        <f>COUNTIF(Jogos!$M$1:$N$29, $D13)</f>
        <v>3</v>
      </c>
      <c r="H13" s="25">
        <f>COUNTIF(Jogos!$O$1:$O$29, $D13)</f>
        <v>0</v>
      </c>
      <c r="I13" s="25">
        <f>COUNTIF(Jogos!$P$1:$Q$29, $D13)</f>
        <v>0</v>
      </c>
      <c r="J13" s="25">
        <f>COUNTIF(Jogos!$R$1:$R$29, $D13)</f>
        <v>3</v>
      </c>
      <c r="K13" s="25">
        <f ca="1">SUMIF(Jogos!$S$1:$T$29, $D13, Jogos!$T$1:$T$29)+SUMIF(Jogos!$U$1:$V$29, $D13, Jogos!$V$1:$V$29)</f>
        <v>0</v>
      </c>
      <c r="L13" s="25">
        <f ca="1">SUMIF(Jogos!$S$1:$V$29, $D13, Jogos!$V$1:$V$29)+SUMIF(Jogos!$U$1:$W$29, $D13, Jogos!$W$1:$W$29)</f>
        <v>3</v>
      </c>
      <c r="M13" s="25">
        <f ca="1">K13-L13</f>
        <v>-3</v>
      </c>
      <c r="N13" s="25">
        <f ca="1">(E13*E$3+F13*F$3+H13*H$3+M13*M$3+K13*K$3)/(E$3/100)-ROW(N13)/E$3</f>
        <v>-3.0012999999999996E-4</v>
      </c>
      <c r="O13" s="27">
        <v>6</v>
      </c>
      <c r="P13" s="27">
        <f ca="1">(E13*E$3+F13*F$3+H13*H$3+M13*M$3+K13*K$3)/(E$3/100)</f>
        <v>-2.9999999999999997E-4</v>
      </c>
      <c r="Q13" s="27">
        <f ca="1">IF(SUM($G$12:$G$15)=0,0,_xlfn.RANK.EQ(P13,$P$12:$P$15))</f>
        <v>4</v>
      </c>
    </row>
    <row r="14" spans="1:19" x14ac:dyDescent="0.15">
      <c r="A14" s="25" t="str">
        <f ca="1">CONCATENATE(C14,B14)</f>
        <v>3B</v>
      </c>
      <c r="B14" s="25" t="s">
        <v>23</v>
      </c>
      <c r="C14" s="25">
        <f ca="1">IF(SUM($G$12:$G$15)=0,0,_xlfn.RANK.EQ(N14,$N$12:$N$15))</f>
        <v>3</v>
      </c>
      <c r="D14" s="26" t="str">
        <f>VLOOKUP($O14, Equipes!$A$3:$B$18, 2, FALSE)</f>
        <v>Leo Carioca</v>
      </c>
      <c r="E14" s="33">
        <f>IF(G14=0,0,(F14)/(G14*3))</f>
        <v>0.66666666666666663</v>
      </c>
      <c r="F14" s="25">
        <f>(H14*3)+(I14*1)</f>
        <v>6</v>
      </c>
      <c r="G14" s="25">
        <f>COUNTIF(Jogos!$M$1:$N$29, $D14)</f>
        <v>3</v>
      </c>
      <c r="H14" s="25">
        <f>COUNTIF(Jogos!$O$1:$O$29, $D14)</f>
        <v>2</v>
      </c>
      <c r="I14" s="25">
        <f>COUNTIF(Jogos!$P$1:$Q$29, $D14)</f>
        <v>0</v>
      </c>
      <c r="J14" s="25">
        <f>COUNTIF(Jogos!$R$1:$R$29, $D14)</f>
        <v>1</v>
      </c>
      <c r="K14" s="25">
        <f ca="1">SUMIF(Jogos!$S$1:$T$29, $D14, Jogos!$T$1:$T$29)+SUMIF(Jogos!$U$1:$V$29, $D14, Jogos!$V$1:$V$29)</f>
        <v>3</v>
      </c>
      <c r="L14" s="25">
        <f ca="1">SUMIF(Jogos!$S$1:$V$29, $D14, Jogos!$V$1:$V$29)+SUMIF(Jogos!$U$1:$W$29, $D14, Jogos!$W$1:$W$29)</f>
        <v>3</v>
      </c>
      <c r="M14" s="25">
        <f ca="1">K14-L14</f>
        <v>0</v>
      </c>
      <c r="N14" s="25">
        <f ca="1">(E14*E$3+F14*F$3+H14*H$3+M14*M$3+K14*K$3)/(E$3/100)-ROW(N14)/E$3</f>
        <v>67.286669526666657</v>
      </c>
      <c r="O14" s="27">
        <v>7</v>
      </c>
      <c r="P14" s="27">
        <f ca="1">(E14*E$3+F14*F$3+H14*H$3+M14*M$3+K14*K$3)/(E$3/100)</f>
        <v>67.286669666666654</v>
      </c>
      <c r="Q14" s="27">
        <f ca="1">IF(SUM($G$12:$G$15)=0,0,_xlfn.RANK.EQ(P14,$P$12:$P$15))</f>
        <v>3</v>
      </c>
    </row>
    <row r="15" spans="1:19" x14ac:dyDescent="0.15">
      <c r="A15" s="25" t="str">
        <f ca="1">CONCATENATE(C15,B15)</f>
        <v>2B</v>
      </c>
      <c r="B15" s="25" t="s">
        <v>23</v>
      </c>
      <c r="C15" s="25">
        <f ca="1">IF(SUM($G$12:$G$15)=0,0,_xlfn.RANK.EQ(N15,$N$12:$N$15))</f>
        <v>2</v>
      </c>
      <c r="D15" s="26" t="str">
        <f>VLOOKUP($O15, Equipes!$A$3:$B$18, 2, FALSE)</f>
        <v>Reginaldo</v>
      </c>
      <c r="E15" s="33">
        <f>IF(G15=0,0,(F15)/(G15*3))</f>
        <v>0.66666666666666663</v>
      </c>
      <c r="F15" s="25">
        <f>(H15*3)+(I15*1)</f>
        <v>6</v>
      </c>
      <c r="G15" s="25">
        <f>COUNTIF(Jogos!$M$1:$N$29, $D15)</f>
        <v>3</v>
      </c>
      <c r="H15" s="25">
        <f>COUNTIF(Jogos!$O$1:$O$29, $D15)</f>
        <v>2</v>
      </c>
      <c r="I15" s="25">
        <f>COUNTIF(Jogos!$P$1:$Q$29, $D15)</f>
        <v>0</v>
      </c>
      <c r="J15" s="25">
        <f>COUNTIF(Jogos!$R$1:$R$29, $D15)</f>
        <v>1</v>
      </c>
      <c r="K15" s="25">
        <f ca="1">SUMIF(Jogos!$S$1:$T$29, $D15, Jogos!$T$1:$T$29)+SUMIF(Jogos!$U$1:$V$29, $D15, Jogos!$V$1:$V$29)</f>
        <v>2</v>
      </c>
      <c r="L15" s="25">
        <f ca="1">SUMIF(Jogos!$S$1:$V$29, $D15, Jogos!$V$1:$V$29)+SUMIF(Jogos!$U$1:$W$29, $D15, Jogos!$W$1:$W$29)</f>
        <v>1</v>
      </c>
      <c r="M15" s="25">
        <f ca="1">K15-L15</f>
        <v>1</v>
      </c>
      <c r="N15" s="25">
        <f ca="1">(E15*E$3+F15*F$3+H15*H$3+M15*M$3+K15*K$3)/(E$3/100)-ROW(N15)/E$3</f>
        <v>67.286768516666655</v>
      </c>
      <c r="O15" s="27">
        <v>8</v>
      </c>
      <c r="P15" s="27">
        <f ca="1">(E15*E$3+F15*F$3+H15*H$3+M15*M$3+K15*K$3)/(E$3/100)</f>
        <v>67.28676866666666</v>
      </c>
      <c r="Q15" s="27">
        <f ca="1">IF(SUM($G$12:$G$15)=0,0,_xlfn.RANK.EQ(P15,$P$12:$P$15))</f>
        <v>2</v>
      </c>
    </row>
    <row r="17" spans="1:17" ht="25.5" x14ac:dyDescent="0.5">
      <c r="A17" s="25" t="s">
        <v>28</v>
      </c>
      <c r="B17" s="25" t="s">
        <v>24</v>
      </c>
      <c r="C17" s="29" t="s">
        <v>24</v>
      </c>
      <c r="D17" s="30" t="s">
        <v>29</v>
      </c>
      <c r="E17" s="32" t="s">
        <v>30</v>
      </c>
      <c r="F17" s="32" t="s">
        <v>31</v>
      </c>
      <c r="G17" s="32" t="s">
        <v>13</v>
      </c>
      <c r="H17" s="32" t="s">
        <v>14</v>
      </c>
      <c r="I17" s="32" t="s">
        <v>15</v>
      </c>
      <c r="J17" s="32" t="s">
        <v>16</v>
      </c>
      <c r="K17" s="32" t="s">
        <v>32</v>
      </c>
      <c r="L17" s="32" t="s">
        <v>33</v>
      </c>
      <c r="M17" s="32" t="s">
        <v>34</v>
      </c>
      <c r="N17" s="31" t="s">
        <v>35</v>
      </c>
    </row>
    <row r="18" spans="1:17" x14ac:dyDescent="0.15">
      <c r="A18" s="25" t="str">
        <f ca="1">CONCATENATE(C18,B18)</f>
        <v>2C</v>
      </c>
      <c r="B18" s="25" t="s">
        <v>24</v>
      </c>
      <c r="C18" s="25">
        <f ca="1">IF(SUM($G$18:$G$21)=0,0,_xlfn.RANK.EQ(N18,$N$18:$N$21))</f>
        <v>2</v>
      </c>
      <c r="D18" s="26" t="str">
        <f>VLOOKUP($O18, Equipes!$A$3:$B$18, 2, FALSE)</f>
        <v>Professor</v>
      </c>
      <c r="E18" s="33">
        <f>IF(G18=0,0,(F18)/(G18*3))</f>
        <v>0.66666666666666663</v>
      </c>
      <c r="F18" s="25">
        <f>(H18*3)+(I18*1)</f>
        <v>6</v>
      </c>
      <c r="G18" s="25">
        <f>COUNTIF(Jogos!$M$1:$N$29, $D18)</f>
        <v>3</v>
      </c>
      <c r="H18" s="25">
        <f>COUNTIF(Jogos!$O$1:$O$29, $D18)</f>
        <v>2</v>
      </c>
      <c r="I18" s="25">
        <f>COUNTIF(Jogos!$P$1:$Q$29, $D18)</f>
        <v>0</v>
      </c>
      <c r="J18" s="25">
        <f>COUNTIF(Jogos!$R$1:$R$29, $D18)</f>
        <v>1</v>
      </c>
      <c r="K18" s="25">
        <f ca="1">SUMIF(Jogos!$S$1:$T$29, $D18, Jogos!$T$1:$T$29)+SUMIF(Jogos!$U$1:$V$29, $D18, Jogos!$V$1:$V$29)</f>
        <v>4</v>
      </c>
      <c r="L18" s="25">
        <f ca="1">SUMIF(Jogos!$S$1:$V$29, $D18, Jogos!$V$1:$V$29)+SUMIF(Jogos!$U$1:$W$29, $D18, Jogos!$W$1:$W$29)</f>
        <v>4</v>
      </c>
      <c r="M18" s="25">
        <f ca="1">K18-L18</f>
        <v>0</v>
      </c>
      <c r="N18" s="25">
        <f ca="1">(E18*E$3+F18*F$3+H18*H$3+M18*M$3+K18*K$3)/(E$3/100)-ROW(N18)/E$3</f>
        <v>67.286670486666651</v>
      </c>
      <c r="O18" s="27">
        <v>9</v>
      </c>
      <c r="P18" s="27">
        <f ca="1">(E18*E$3+F18*F$3+H18*H$3+M18*M$3+K18*K$3)/(E$3/100)</f>
        <v>67.286670666666652</v>
      </c>
      <c r="Q18" s="27">
        <f ca="1">IF(SUM($G$18:$G$21)=0,0,_xlfn.RANK.EQ(P18,$P$18:$P$21))</f>
        <v>2</v>
      </c>
    </row>
    <row r="19" spans="1:17" x14ac:dyDescent="0.15">
      <c r="A19" s="25" t="str">
        <f ca="1">CONCATENATE(C19,B19)</f>
        <v>4C</v>
      </c>
      <c r="B19" s="25" t="s">
        <v>24</v>
      </c>
      <c r="C19" s="25">
        <f ca="1">IF(SUM($G$18:$G$21)=0,0,_xlfn.RANK.EQ(N19,$N$18:$N$21))</f>
        <v>4</v>
      </c>
      <c r="D19" s="26" t="str">
        <f>VLOOKUP($O19, Equipes!$A$3:$B$18, 2, FALSE)</f>
        <v>WO 3</v>
      </c>
      <c r="E19" s="33">
        <f>IF(G19=0,0,(F19)/(G19*3))</f>
        <v>0</v>
      </c>
      <c r="F19" s="25">
        <f>(H19*3)+(I19*1)</f>
        <v>0</v>
      </c>
      <c r="G19" s="25">
        <f>COUNTIF(Jogos!$M$1:$N$29, $D19)</f>
        <v>3</v>
      </c>
      <c r="H19" s="25">
        <f>COUNTIF(Jogos!$O$1:$O$29, $D19)</f>
        <v>0</v>
      </c>
      <c r="I19" s="25">
        <f>COUNTIF(Jogos!$P$1:$Q$29, $D19)</f>
        <v>0</v>
      </c>
      <c r="J19" s="25">
        <f>COUNTIF(Jogos!$R$1:$R$29, $D19)</f>
        <v>3</v>
      </c>
      <c r="K19" s="25">
        <f ca="1">SUMIF(Jogos!$S$1:$T$29, $D19, Jogos!$T$1:$T$29)+SUMIF(Jogos!$U$1:$V$29, $D19, Jogos!$V$1:$V$29)</f>
        <v>0</v>
      </c>
      <c r="L19" s="25">
        <f ca="1">SUMIF(Jogos!$S$1:$V$29, $D19, Jogos!$V$1:$V$29)+SUMIF(Jogos!$U$1:$W$29, $D19, Jogos!$W$1:$W$29)</f>
        <v>3</v>
      </c>
      <c r="M19" s="25">
        <f ca="1">K19-L19</f>
        <v>-3</v>
      </c>
      <c r="N19" s="25">
        <f ca="1">(E19*E$3+F19*F$3+H19*H$3+M19*M$3+K19*K$3)/(E$3/100)-ROW(N19)/E$3</f>
        <v>-3.0018999999999998E-4</v>
      </c>
      <c r="O19" s="27">
        <v>10</v>
      </c>
      <c r="P19" s="27">
        <f ca="1">(E19*E$3+F19*F$3+H19*H$3+M19*M$3+K19*K$3)/(E$3/100)</f>
        <v>-2.9999999999999997E-4</v>
      </c>
      <c r="Q19" s="27">
        <f ca="1">IF(SUM($G$18:$G$21)=0,0,_xlfn.RANK.EQ(P19,$P$18:$P$21))</f>
        <v>4</v>
      </c>
    </row>
    <row r="20" spans="1:17" x14ac:dyDescent="0.15">
      <c r="A20" s="25" t="str">
        <f ca="1">CONCATENATE(C20,B20)</f>
        <v>3C</v>
      </c>
      <c r="B20" s="25" t="s">
        <v>24</v>
      </c>
      <c r="C20" s="25">
        <f ca="1">IF(SUM($G$18:$G$21)=0,0,_xlfn.RANK.EQ(N20,$N$18:$N$21))</f>
        <v>3</v>
      </c>
      <c r="D20" s="26" t="str">
        <f>VLOOKUP($O20, Equipes!$A$3:$B$18, 2, FALSE)</f>
        <v>Cristiano</v>
      </c>
      <c r="E20" s="33">
        <f>IF(G20=0,0,(F20)/(G20*3))</f>
        <v>0.33333333333333331</v>
      </c>
      <c r="F20" s="25">
        <f>(H20*3)+(I20*1)</f>
        <v>3</v>
      </c>
      <c r="G20" s="25">
        <f>COUNTIF(Jogos!$M$1:$N$29, $D20)</f>
        <v>3</v>
      </c>
      <c r="H20" s="25">
        <f>COUNTIF(Jogos!$O$1:$O$29, $D20)</f>
        <v>1</v>
      </c>
      <c r="I20" s="25">
        <f>COUNTIF(Jogos!$P$1:$Q$29, $D20)</f>
        <v>0</v>
      </c>
      <c r="J20" s="25">
        <f>COUNTIF(Jogos!$R$1:$R$29, $D20)</f>
        <v>2</v>
      </c>
      <c r="K20" s="25">
        <f ca="1">SUMIF(Jogos!$S$1:$T$29, $D20, Jogos!$T$1:$T$29)+SUMIF(Jogos!$U$1:$V$29, $D20, Jogos!$V$1:$V$29)</f>
        <v>3</v>
      </c>
      <c r="L20" s="25">
        <f ca="1">SUMIF(Jogos!$S$1:$V$29, $D20, Jogos!$V$1:$V$29)+SUMIF(Jogos!$U$1:$W$29, $D20, Jogos!$W$1:$W$29)</f>
        <v>4</v>
      </c>
      <c r="M20" s="25">
        <f ca="1">K20-L20</f>
        <v>-1</v>
      </c>
      <c r="N20" s="25">
        <f ca="1">(E20*E$3+F20*F$3+H20*H$3+M20*M$3+K20*K$3)/(E$3/100)-ROW(N20)/E$3</f>
        <v>33.643236133333325</v>
      </c>
      <c r="O20" s="27">
        <v>11</v>
      </c>
      <c r="P20" s="27">
        <f ca="1">(E20*E$3+F20*F$3+H20*H$3+M20*M$3+K20*K$3)/(E$3/100)</f>
        <v>33.643236333333327</v>
      </c>
      <c r="Q20" s="27">
        <f ca="1">IF(SUM($G$18:$G$21)=0,0,_xlfn.RANK.EQ(P20,$P$18:$P$21))</f>
        <v>3</v>
      </c>
    </row>
    <row r="21" spans="1:17" x14ac:dyDescent="0.15">
      <c r="A21" s="25" t="str">
        <f ca="1">CONCATENATE(C21,B21)</f>
        <v>1C</v>
      </c>
      <c r="B21" s="25" t="s">
        <v>24</v>
      </c>
      <c r="C21" s="25">
        <f ca="1">IF(SUM($G$18:$G$21)=0,0,_xlfn.RANK.EQ(N21,$N$18:$N$21))</f>
        <v>1</v>
      </c>
      <c r="D21" s="26" t="str">
        <f>VLOOKUP($O21, Equipes!$A$3:$B$18, 2, FALSE)</f>
        <v>DJ Iury</v>
      </c>
      <c r="E21" s="33">
        <f>IF(G21=0,0,(F21)/(G21*3))</f>
        <v>1</v>
      </c>
      <c r="F21" s="25">
        <f>(H21*3)+(I21*1)</f>
        <v>9</v>
      </c>
      <c r="G21" s="25">
        <f>COUNTIF(Jogos!$M$1:$N$29, $D21)</f>
        <v>3</v>
      </c>
      <c r="H21" s="25">
        <f>COUNTIF(Jogos!$O$1:$O$29, $D21)</f>
        <v>3</v>
      </c>
      <c r="I21" s="25">
        <f>COUNTIF(Jogos!$P$1:$Q$29, $D21)</f>
        <v>0</v>
      </c>
      <c r="J21" s="25">
        <f>COUNTIF(Jogos!$R$1:$R$29, $D21)</f>
        <v>0</v>
      </c>
      <c r="K21" s="25">
        <f ca="1">SUMIF(Jogos!$S$1:$T$29, $D21, Jogos!$T$1:$T$29)+SUMIF(Jogos!$U$1:$V$29, $D21, Jogos!$V$1:$V$29)</f>
        <v>4</v>
      </c>
      <c r="L21" s="25">
        <f ca="1">SUMIF(Jogos!$S$1:$V$29, $D21, Jogos!$V$1:$V$29)+SUMIF(Jogos!$U$1:$W$29, $D21, Jogos!$W$1:$W$29)</f>
        <v>0</v>
      </c>
      <c r="M21" s="25">
        <f ca="1">K21-L21</f>
        <v>4</v>
      </c>
      <c r="N21" s="25">
        <f ca="1">(E21*E$3+F21*F$3+H21*H$3+M21*M$3+K21*K$3)/(E$3/100)-ROW(N21)/E$3</f>
        <v>100.93040379</v>
      </c>
      <c r="O21" s="27">
        <v>12</v>
      </c>
      <c r="P21" s="27">
        <f ca="1">(E21*E$3+F21*F$3+H21*H$3+M21*M$3+K21*K$3)/(E$3/100)</f>
        <v>100.930404</v>
      </c>
      <c r="Q21" s="27">
        <f ca="1">IF(SUM($G$18:$G$21)=0,0,_xlfn.RANK.EQ(P21,$P$18:$P$21))</f>
        <v>1</v>
      </c>
    </row>
    <row r="23" spans="1:17" ht="25.5" x14ac:dyDescent="0.5">
      <c r="A23" s="25" t="s">
        <v>28</v>
      </c>
      <c r="B23" s="25" t="s">
        <v>16</v>
      </c>
      <c r="C23" s="29" t="s">
        <v>16</v>
      </c>
      <c r="D23" s="30" t="s">
        <v>29</v>
      </c>
      <c r="E23" s="32" t="s">
        <v>30</v>
      </c>
      <c r="F23" s="32" t="s">
        <v>31</v>
      </c>
      <c r="G23" s="32" t="s">
        <v>13</v>
      </c>
      <c r="H23" s="32" t="s">
        <v>14</v>
      </c>
      <c r="I23" s="32" t="s">
        <v>15</v>
      </c>
      <c r="J23" s="32" t="s">
        <v>16</v>
      </c>
      <c r="K23" s="32" t="s">
        <v>32</v>
      </c>
      <c r="L23" s="32" t="s">
        <v>33</v>
      </c>
      <c r="M23" s="32" t="s">
        <v>34</v>
      </c>
      <c r="N23" s="31" t="s">
        <v>35</v>
      </c>
    </row>
    <row r="24" spans="1:17" x14ac:dyDescent="0.15">
      <c r="A24" s="25" t="str">
        <f ca="1">CONCATENATE(C24,B24)</f>
        <v>4D</v>
      </c>
      <c r="B24" s="25" t="s">
        <v>16</v>
      </c>
      <c r="C24" s="25">
        <f ca="1">IF(SUM($G$24:$G$27)=0,0,_xlfn.RANK.EQ(N24,$N$24:$N$27))</f>
        <v>4</v>
      </c>
      <c r="D24" s="26" t="str">
        <f>VLOOKUP($O24, Equipes!$A$3:$B$18, 2, FALSE)</f>
        <v>Rafael Balieiro</v>
      </c>
      <c r="E24" s="33">
        <f>IF(G24=0,0,(F24)/(G24*3))</f>
        <v>0</v>
      </c>
      <c r="F24" s="25">
        <f>(H24*3)+(I24*1)</f>
        <v>0</v>
      </c>
      <c r="G24" s="25">
        <f>COUNTIF(Jogos!$M$1:$N$29, $D24)</f>
        <v>3</v>
      </c>
      <c r="H24" s="25">
        <f>COUNTIF(Jogos!$O$1:$O$29, $D24)</f>
        <v>0</v>
      </c>
      <c r="I24" s="25">
        <f>COUNTIF(Jogos!$P$1:$Q$29, $D24)</f>
        <v>0</v>
      </c>
      <c r="J24" s="25">
        <f>COUNTIF(Jogos!$R$1:$R$29, $D24)</f>
        <v>3</v>
      </c>
      <c r="K24" s="25">
        <f ca="1">SUMIF(Jogos!$S$1:$T$29, $D24, Jogos!$T$1:$T$29)+SUMIF(Jogos!$U$1:$V$29, $D24, Jogos!$V$1:$V$29)</f>
        <v>2</v>
      </c>
      <c r="L24" s="25">
        <f ca="1">SUMIF(Jogos!$S$1:$V$29, $D24, Jogos!$V$1:$V$29)+SUMIF(Jogos!$U$1:$W$29, $D24, Jogos!$W$1:$W$29)</f>
        <v>5</v>
      </c>
      <c r="M24" s="25">
        <f ca="1">K24-L24</f>
        <v>-3</v>
      </c>
      <c r="N24" s="25">
        <f ca="1">(E24*E$3+F24*F$3+H24*H$3+M24*M$3+K24*K$3)/(E$3/100)-ROW(N24)/E$3</f>
        <v>-2.9823999999999996E-4</v>
      </c>
      <c r="O24" s="27">
        <v>13</v>
      </c>
      <c r="P24" s="27">
        <f ca="1">(E24*E$3+F24*F$3+H24*H$3+M24*M$3+K24*K$3)/(E$3/100)</f>
        <v>-2.9799999999999998E-4</v>
      </c>
      <c r="Q24" s="27">
        <f ca="1">IF(SUM($G$24:$G$27)=0,0,_xlfn.RANK.EQ(P24,$P$24:$P$27))</f>
        <v>4</v>
      </c>
    </row>
    <row r="25" spans="1:17" x14ac:dyDescent="0.15">
      <c r="A25" s="25" t="str">
        <f ca="1">CONCATENATE(C25,B25)</f>
        <v>3D</v>
      </c>
      <c r="B25" s="25" t="s">
        <v>16</v>
      </c>
      <c r="C25" s="25">
        <f ca="1">IF(SUM($G$24:$G$27)=0,0,_xlfn.RANK.EQ(N25,$N$24:$N$27))</f>
        <v>3</v>
      </c>
      <c r="D25" s="26" t="str">
        <f>VLOOKUP($O25, Equipes!$A$3:$B$18, 2, FALSE)</f>
        <v>Luiz Moreira</v>
      </c>
      <c r="E25" s="33">
        <f>IF(G25=0,0,(F25)/(G25*3))</f>
        <v>0.44444444444444442</v>
      </c>
      <c r="F25" s="25">
        <f>(H25*3)+(I25*1)</f>
        <v>4</v>
      </c>
      <c r="G25" s="25">
        <f>COUNTIF(Jogos!$M$1:$N$29, $D25)</f>
        <v>3</v>
      </c>
      <c r="H25" s="25">
        <f>COUNTIF(Jogos!$O$1:$O$29, $D25)</f>
        <v>1</v>
      </c>
      <c r="I25" s="25">
        <f>COUNTIF(Jogos!$P$1:$Q$29, $D25)</f>
        <v>1</v>
      </c>
      <c r="J25" s="25">
        <f>COUNTIF(Jogos!$R$1:$R$29, $D25)</f>
        <v>1</v>
      </c>
      <c r="K25" s="25">
        <f ca="1">SUMIF(Jogos!$S$1:$T$29, $D25, Jogos!$T$1:$T$29)+SUMIF(Jogos!$U$1:$V$29, $D25, Jogos!$V$1:$V$29)</f>
        <v>4</v>
      </c>
      <c r="L25" s="25">
        <f ca="1">SUMIF(Jogos!$S$1:$V$29, $D25, Jogos!$V$1:$V$29)+SUMIF(Jogos!$U$1:$W$29, $D25, Jogos!$W$1:$W$29)</f>
        <v>4</v>
      </c>
      <c r="M25" s="25">
        <f ca="1">K25-L25</f>
        <v>0</v>
      </c>
      <c r="N25" s="25">
        <f ca="1">(E25*E$3+F25*F$3+H25*H$3+M25*M$3+K25*K$3)/(E$3/100)-ROW(N25)/E$3</f>
        <v>44.854448194444444</v>
      </c>
      <c r="O25" s="27">
        <v>14</v>
      </c>
      <c r="P25" s="27">
        <f ca="1">(E25*E$3+F25*F$3+H25*H$3+M25*M$3+K25*K$3)/(E$3/100)</f>
        <v>44.854448444444444</v>
      </c>
      <c r="Q25" s="27">
        <f ca="1">IF(SUM($G$24:$G$27)=0,0,_xlfn.RANK.EQ(P25,$P$24:$P$27))</f>
        <v>3</v>
      </c>
    </row>
    <row r="26" spans="1:17" x14ac:dyDescent="0.15">
      <c r="A26" s="25" t="str">
        <f ca="1">CONCATENATE(C26,B26)</f>
        <v>1D</v>
      </c>
      <c r="B26" s="25" t="s">
        <v>16</v>
      </c>
      <c r="C26" s="25">
        <f ca="1">IF(SUM($G$24:$G$27)=0,0,_xlfn.RANK.EQ(N26,$N$24:$N$27))</f>
        <v>1</v>
      </c>
      <c r="D26" s="26" t="str">
        <f>VLOOKUP($O26, Equipes!$A$3:$B$18, 2, FALSE)</f>
        <v>Mura</v>
      </c>
      <c r="E26" s="33">
        <f>IF(G26=0,0,(F26)/(G26*3))</f>
        <v>0.77777777777777779</v>
      </c>
      <c r="F26" s="25">
        <f>(H26*3)+(I26*1)</f>
        <v>7</v>
      </c>
      <c r="G26" s="25">
        <f>COUNTIF(Jogos!$M$1:$N$29, $D26)</f>
        <v>3</v>
      </c>
      <c r="H26" s="25">
        <f>COUNTIF(Jogos!$O$1:$O$29, $D26)</f>
        <v>2</v>
      </c>
      <c r="I26" s="25">
        <f>COUNTIF(Jogos!$P$1:$Q$29, $D26)</f>
        <v>1</v>
      </c>
      <c r="J26" s="25">
        <f>COUNTIF(Jogos!$R$1:$R$29, $D26)</f>
        <v>0</v>
      </c>
      <c r="K26" s="25">
        <f ca="1">SUMIF(Jogos!$S$1:$T$29, $D26, Jogos!$T$1:$T$29)+SUMIF(Jogos!$U$1:$V$29, $D26, Jogos!$V$1:$V$29)</f>
        <v>3</v>
      </c>
      <c r="L26" s="25">
        <f ca="1">SUMIF(Jogos!$S$1:$V$29, $D26, Jogos!$V$1:$V$29)+SUMIF(Jogos!$U$1:$W$29, $D26, Jogos!$W$1:$W$29)</f>
        <v>1</v>
      </c>
      <c r="M26" s="25">
        <f ca="1">K26-L26</f>
        <v>2</v>
      </c>
      <c r="N26" s="25">
        <f ca="1">(E26*E$3+F26*F$3+H26*H$3+M26*M$3+K26*K$3)/(E$3/100)-ROW(N26)/E$3</f>
        <v>78.497980517777776</v>
      </c>
      <c r="O26" s="27">
        <v>15</v>
      </c>
      <c r="P26" s="27">
        <f ca="1">(E26*E$3+F26*F$3+H26*H$3+M26*M$3+K26*K$3)/(E$3/100)</f>
        <v>78.497980777777769</v>
      </c>
      <c r="Q26" s="27">
        <f ca="1">IF(SUM($G$24:$G$27)=0,0,_xlfn.RANK.EQ(P26,$P$24:$P$27))</f>
        <v>1</v>
      </c>
    </row>
    <row r="27" spans="1:17" x14ac:dyDescent="0.15">
      <c r="A27" s="25" t="str">
        <f ca="1">CONCATENATE(C27,B27)</f>
        <v>2D</v>
      </c>
      <c r="B27" s="25" t="s">
        <v>16</v>
      </c>
      <c r="C27" s="25">
        <f ca="1">IF(SUM($G$24:$G$27)=0,0,_xlfn.RANK.EQ(N27,$N$24:$N$27))</f>
        <v>2</v>
      </c>
      <c r="D27" s="26" t="str">
        <f>VLOOKUP($O27, Equipes!$A$3:$B$18, 2, FALSE)</f>
        <v>Pepe</v>
      </c>
      <c r="E27" s="33">
        <f>IF(G27=0,0,(F27)/(G27*3))</f>
        <v>0.55555555555555558</v>
      </c>
      <c r="F27" s="25">
        <f>(H27*3)+(I27*1)</f>
        <v>5</v>
      </c>
      <c r="G27" s="25">
        <f>COUNTIF(Jogos!$M$1:$N$29, $D27)</f>
        <v>3</v>
      </c>
      <c r="H27" s="25">
        <f>COUNTIF(Jogos!$O$1:$O$29, $D27)</f>
        <v>1</v>
      </c>
      <c r="I27" s="25">
        <f>COUNTIF(Jogos!$P$1:$Q$29, $D27)</f>
        <v>2</v>
      </c>
      <c r="J27" s="25">
        <f>COUNTIF(Jogos!$R$1:$R$29, $D27)</f>
        <v>0</v>
      </c>
      <c r="K27" s="25">
        <f ca="1">SUMIF(Jogos!$S$1:$T$29, $D27, Jogos!$T$1:$T$29)+SUMIF(Jogos!$U$1:$V$29, $D27, Jogos!$V$1:$V$29)</f>
        <v>1</v>
      </c>
      <c r="L27" s="25">
        <f ca="1">SUMIF(Jogos!$S$1:$V$29, $D27, Jogos!$V$1:$V$29)+SUMIF(Jogos!$U$1:$W$29, $D27, Jogos!$W$1:$W$29)</f>
        <v>0</v>
      </c>
      <c r="M27" s="25">
        <f ca="1">K27-L27</f>
        <v>1</v>
      </c>
      <c r="N27" s="25">
        <f ca="1">(E27*E$3+F27*F$3+H27*H$3+M27*M$3+K27*K$3)/(E$3/100)-ROW(N27)/E$3</f>
        <v>56.065656285555562</v>
      </c>
      <c r="O27" s="27">
        <v>16</v>
      </c>
      <c r="P27" s="27">
        <f ca="1">(E27*E$3+F27*F$3+H27*H$3+M27*M$3+K27*K$3)/(E$3/100)</f>
        <v>56.065656555555563</v>
      </c>
      <c r="Q27" s="27">
        <f ca="1">IF(SUM($G$24:$G$27)=0,0,_xlfn.RANK.EQ(P27,$P$24:$P$27))</f>
        <v>2</v>
      </c>
    </row>
    <row r="29" spans="1:17" ht="25.5" x14ac:dyDescent="0.5">
      <c r="C29" s="55" t="s">
        <v>38</v>
      </c>
      <c r="D29" s="30" t="s">
        <v>29</v>
      </c>
    </row>
    <row r="30" spans="1:17" x14ac:dyDescent="0.15">
      <c r="B30" s="25" t="s">
        <v>39</v>
      </c>
      <c r="C30" s="25">
        <f ca="1">_xlfn.RANK.EQ(E30,$E$30:$E$33)</f>
        <v>1</v>
      </c>
      <c r="D30" s="26" t="str">
        <f ca="1">VLOOKUP($B30,$A$5:$P$27,4,FALSE)</f>
        <v>Sallys</v>
      </c>
      <c r="E30" s="25">
        <f ca="1">VLOOKUP($B30,$A$5:$P$27,14,FALSE)</f>
        <v>100.93040492999999</v>
      </c>
    </row>
    <row r="31" spans="1:17" x14ac:dyDescent="0.15">
      <c r="B31" s="25" t="s">
        <v>40</v>
      </c>
      <c r="C31" s="25">
        <f ca="1">_xlfn.RANK.EQ(E31,$E$30:$E$33)</f>
        <v>4</v>
      </c>
      <c r="D31" s="26" t="str">
        <f ca="1">VLOOKUP($B31,$A$5:$P$27,4,FALSE)</f>
        <v>Marielcio</v>
      </c>
      <c r="E31" s="25">
        <f ca="1">VLOOKUP($B31,$A$5:$P$27,14,FALSE)</f>
        <v>67.286870546666663</v>
      </c>
    </row>
    <row r="32" spans="1:17" x14ac:dyDescent="0.15">
      <c r="B32" s="25" t="s">
        <v>41</v>
      </c>
      <c r="C32" s="25">
        <f ca="1">_xlfn.RANK.EQ(E32,$E$30:$E$33)</f>
        <v>2</v>
      </c>
      <c r="D32" s="26" t="str">
        <f ca="1">VLOOKUP($B32,$A$5:$P$27,4,FALSE)</f>
        <v>DJ Iury</v>
      </c>
      <c r="E32" s="25">
        <f ca="1">VLOOKUP($B32,$A$5:$P$27,14,FALSE)</f>
        <v>100.93040379</v>
      </c>
    </row>
    <row r="33" spans="2:5" x14ac:dyDescent="0.15">
      <c r="B33" s="25" t="s">
        <v>42</v>
      </c>
      <c r="C33" s="25">
        <f ca="1">_xlfn.RANK.EQ(E33,$E$30:$E$33)</f>
        <v>3</v>
      </c>
      <c r="D33" s="26" t="str">
        <f ca="1">VLOOKUP($B33,$A$5:$P$27,4,FALSE)</f>
        <v>Mura</v>
      </c>
      <c r="E33" s="25">
        <f ca="1">VLOOKUP($B33,$A$5:$P$27,14,FALSE)</f>
        <v>78.497980517777776</v>
      </c>
    </row>
    <row r="36" spans="2:5" ht="25.5" x14ac:dyDescent="0.5">
      <c r="C36" s="56" t="s">
        <v>43</v>
      </c>
      <c r="D36" s="30" t="s">
        <v>29</v>
      </c>
    </row>
    <row r="37" spans="2:5" x14ac:dyDescent="0.15">
      <c r="B37" s="25" t="s">
        <v>44</v>
      </c>
      <c r="C37" s="25">
        <f t="shared" ref="C37:C48" ca="1" si="0">_xlfn.RANK.EQ(E37,$E$37:$E$48) + 4</f>
        <v>10</v>
      </c>
      <c r="D37" s="26" t="str">
        <f t="shared" ref="D37:D48" ca="1" si="1">VLOOKUP($B37,$A$5:$P$27,4,FALSE)</f>
        <v>Andre Coelho</v>
      </c>
      <c r="E37" s="25">
        <f t="shared" ref="E37:E48" ca="1" si="2">VLOOKUP($B37,$A$5:$P$27,14,FALSE)</f>
        <v>44.854446364444442</v>
      </c>
    </row>
    <row r="38" spans="2:5" x14ac:dyDescent="0.15">
      <c r="B38" s="25" t="s">
        <v>45</v>
      </c>
      <c r="C38" s="25">
        <f t="shared" ca="1" si="0"/>
        <v>11</v>
      </c>
      <c r="D38" s="26" t="str">
        <f t="shared" ca="1" si="1"/>
        <v>Luiz Coelho</v>
      </c>
      <c r="E38" s="25">
        <f t="shared" ca="1" si="2"/>
        <v>44.854345384444443</v>
      </c>
    </row>
    <row r="39" spans="2:5" x14ac:dyDescent="0.15">
      <c r="B39" s="25" t="s">
        <v>46</v>
      </c>
      <c r="C39" s="25">
        <f t="shared" ca="1" si="0"/>
        <v>14</v>
      </c>
      <c r="D39" s="26" t="str">
        <f t="shared" ca="1" si="1"/>
        <v>WO 1</v>
      </c>
      <c r="E39" s="25">
        <f t="shared" ca="1" si="2"/>
        <v>-3.0008999999999998E-4</v>
      </c>
    </row>
    <row r="40" spans="2:5" x14ac:dyDescent="0.15">
      <c r="B40" s="25" t="s">
        <v>47</v>
      </c>
      <c r="C40" s="25">
        <f t="shared" ca="1" si="0"/>
        <v>5</v>
      </c>
      <c r="D40" s="26" t="str">
        <f t="shared" ca="1" si="1"/>
        <v>Reginaldo</v>
      </c>
      <c r="E40" s="25">
        <f t="shared" ca="1" si="2"/>
        <v>67.286768516666655</v>
      </c>
    </row>
    <row r="41" spans="2:5" x14ac:dyDescent="0.15">
      <c r="B41" s="25" t="s">
        <v>48</v>
      </c>
      <c r="C41" s="25">
        <f t="shared" ca="1" si="0"/>
        <v>7</v>
      </c>
      <c r="D41" s="26" t="str">
        <f t="shared" ca="1" si="1"/>
        <v>Leo Carioca</v>
      </c>
      <c r="E41" s="25">
        <f t="shared" ca="1" si="2"/>
        <v>67.286669526666657</v>
      </c>
    </row>
    <row r="42" spans="2:5" x14ac:dyDescent="0.15">
      <c r="B42" s="25" t="s">
        <v>49</v>
      </c>
      <c r="C42" s="25">
        <f t="shared" ca="1" si="0"/>
        <v>15</v>
      </c>
      <c r="D42" s="26" t="str">
        <f t="shared" ca="1" si="1"/>
        <v>WO 2</v>
      </c>
      <c r="E42" s="25">
        <f t="shared" ca="1" si="2"/>
        <v>-3.0012999999999996E-4</v>
      </c>
    </row>
    <row r="43" spans="2:5" x14ac:dyDescent="0.15">
      <c r="B43" s="25" t="s">
        <v>50</v>
      </c>
      <c r="C43" s="25">
        <f t="shared" ca="1" si="0"/>
        <v>6</v>
      </c>
      <c r="D43" s="26" t="str">
        <f t="shared" ca="1" si="1"/>
        <v>Professor</v>
      </c>
      <c r="E43" s="25">
        <f t="shared" ca="1" si="2"/>
        <v>67.286670486666651</v>
      </c>
    </row>
    <row r="44" spans="2:5" x14ac:dyDescent="0.15">
      <c r="B44" s="25" t="s">
        <v>51</v>
      </c>
      <c r="C44" s="25">
        <f t="shared" ca="1" si="0"/>
        <v>12</v>
      </c>
      <c r="D44" s="26" t="str">
        <f t="shared" ca="1" si="1"/>
        <v>Cristiano</v>
      </c>
      <c r="E44" s="25">
        <f t="shared" ca="1" si="2"/>
        <v>33.643236133333325</v>
      </c>
    </row>
    <row r="45" spans="2:5" x14ac:dyDescent="0.15">
      <c r="B45" s="25" t="s">
        <v>52</v>
      </c>
      <c r="C45" s="25">
        <f t="shared" ca="1" si="0"/>
        <v>16</v>
      </c>
      <c r="D45" s="26" t="str">
        <f t="shared" ca="1" si="1"/>
        <v>WO 3</v>
      </c>
      <c r="E45" s="25">
        <f t="shared" ca="1" si="2"/>
        <v>-3.0018999999999998E-4</v>
      </c>
    </row>
    <row r="46" spans="2:5" x14ac:dyDescent="0.15">
      <c r="B46" s="25" t="s">
        <v>53</v>
      </c>
      <c r="C46" s="25">
        <f t="shared" ca="1" si="0"/>
        <v>8</v>
      </c>
      <c r="D46" s="26" t="str">
        <f t="shared" ca="1" si="1"/>
        <v>Pepe</v>
      </c>
      <c r="E46" s="25">
        <f t="shared" ca="1" si="2"/>
        <v>56.065656285555562</v>
      </c>
    </row>
    <row r="47" spans="2:5" x14ac:dyDescent="0.15">
      <c r="B47" s="25" t="s">
        <v>54</v>
      </c>
      <c r="C47" s="25">
        <f t="shared" ca="1" si="0"/>
        <v>9</v>
      </c>
      <c r="D47" s="26" t="str">
        <f t="shared" ca="1" si="1"/>
        <v>Luiz Moreira</v>
      </c>
      <c r="E47" s="25">
        <f t="shared" ca="1" si="2"/>
        <v>44.854448194444444</v>
      </c>
    </row>
    <row r="48" spans="2:5" x14ac:dyDescent="0.15">
      <c r="B48" s="25" t="s">
        <v>55</v>
      </c>
      <c r="C48" s="25">
        <f t="shared" ca="1" si="0"/>
        <v>13</v>
      </c>
      <c r="D48" s="26" t="str">
        <f t="shared" ca="1" si="1"/>
        <v>Rafael Balieiro</v>
      </c>
      <c r="E48" s="25">
        <f t="shared" ca="1" si="2"/>
        <v>-2.9823999999999996E-4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>
      <pane ySplit="1" topLeftCell="A3" activePane="bottomLeft" state="frozen"/>
      <selection pane="bottomLeft" activeCell="G8" sqref="G8"/>
    </sheetView>
  </sheetViews>
  <sheetFormatPr defaultColWidth="10.875" defaultRowHeight="17.25" x14ac:dyDescent="0.3"/>
  <cols>
    <col min="1" max="1" width="1.875" style="37" customWidth="1"/>
    <col min="2" max="2" width="7.875" style="54" customWidth="1"/>
    <col min="3" max="3" width="40.875" style="39" customWidth="1"/>
    <col min="4" max="12" width="8.875" style="40" customWidth="1"/>
    <col min="13" max="13" width="10.875" style="41"/>
    <col min="14" max="16384" width="10.875" style="23"/>
  </cols>
  <sheetData>
    <row r="1" spans="1:13" ht="20.25" x14ac:dyDescent="0.3">
      <c r="B1" s="38" t="s">
        <v>37</v>
      </c>
    </row>
    <row r="2" spans="1:13" x14ac:dyDescent="0.3">
      <c r="B2" s="42" t="s">
        <v>1</v>
      </c>
    </row>
    <row r="3" spans="1:13" x14ac:dyDescent="0.3">
      <c r="B3" s="43" t="s">
        <v>22</v>
      </c>
      <c r="C3" s="44" t="s">
        <v>29</v>
      </c>
      <c r="D3" s="45" t="s">
        <v>30</v>
      </c>
      <c r="E3" s="45" t="s">
        <v>31</v>
      </c>
      <c r="F3" s="45" t="s">
        <v>13</v>
      </c>
      <c r="G3" s="45" t="s">
        <v>14</v>
      </c>
      <c r="H3" s="45" t="s">
        <v>15</v>
      </c>
      <c r="I3" s="45" t="s">
        <v>16</v>
      </c>
      <c r="J3" s="45" t="s">
        <v>32</v>
      </c>
      <c r="K3" s="45" t="s">
        <v>33</v>
      </c>
      <c r="L3" s="45" t="s">
        <v>34</v>
      </c>
    </row>
    <row r="4" spans="1:13" x14ac:dyDescent="0.3">
      <c r="A4" s="37">
        <v>1</v>
      </c>
      <c r="B4" s="46">
        <f ca="1">IFERROR(VLOOKUP($A4,ClassGrupFases!$C$6:$Q$10,15,FALSE),"")</f>
        <v>1</v>
      </c>
      <c r="C4" s="47" t="str">
        <f ca="1">IFERROR(VLOOKUP($A4,ClassGrupFases!$C$6:$Q$10,2,FALSE),"")</f>
        <v>Sallys</v>
      </c>
      <c r="D4" s="48">
        <f ca="1">IFERROR(VLOOKUP($A4,ClassGrupFases!$C$6:$Q$10,3,FALSE),"")</f>
        <v>1</v>
      </c>
      <c r="E4" s="49">
        <f ca="1">IFERROR(VLOOKUP($A4,ClassGrupFases!$C$6:$Q$10,4,FALSE),"")</f>
        <v>9</v>
      </c>
      <c r="F4" s="49">
        <f ca="1">IFERROR(VLOOKUP($A4,ClassGrupFases!$C$6:$Q$10,5,FALSE),"")</f>
        <v>3</v>
      </c>
      <c r="G4" s="49">
        <f ca="1">IFERROR(VLOOKUP($A4,ClassGrupFases!$C$6:$Q$10,6,FALSE),"")</f>
        <v>3</v>
      </c>
      <c r="H4" s="49">
        <f ca="1">IFERROR(VLOOKUP($A4,ClassGrupFases!$C$6:$Q$10,7,FALSE),"")</f>
        <v>0</v>
      </c>
      <c r="I4" s="49">
        <f ca="1">IFERROR(VLOOKUP($A4,ClassGrupFases!$C$6:$Q$10,8,FALSE),"")</f>
        <v>0</v>
      </c>
      <c r="J4" s="49">
        <f ca="1">IFERROR(VLOOKUP($A4,ClassGrupFases!$C$6:$Q$10,9,FALSE),"")</f>
        <v>5</v>
      </c>
      <c r="K4" s="49">
        <f ca="1">IFERROR(VLOOKUP($A4,ClassGrupFases!$C$6:$Q$10,10,FALSE),"")</f>
        <v>1</v>
      </c>
      <c r="L4" s="49">
        <f ca="1">IFERROR(VLOOKUP($A4,ClassGrupFases!$C$6:$Q$10,11,FALSE),"")</f>
        <v>4</v>
      </c>
      <c r="M4" s="41">
        <f ca="1">IFERROR(VLOOKUP($A4,ClassGrupFases!$C$6:$Q$10,1,FALSE),"")</f>
        <v>1</v>
      </c>
    </row>
    <row r="5" spans="1:13" x14ac:dyDescent="0.3">
      <c r="A5" s="37">
        <v>2</v>
      </c>
      <c r="B5" s="46">
        <f ca="1">IFERROR(VLOOKUP($A5,ClassGrupFases!$C$6:$Q$10,15,FALSE),"")</f>
        <v>2</v>
      </c>
      <c r="C5" s="47" t="str">
        <f ca="1">IFERROR(VLOOKUP($A5,ClassGrupFases!$C$6:$Q$10,2,FALSE),"")</f>
        <v>Andre Coelho</v>
      </c>
      <c r="D5" s="48">
        <f ca="1">IFERROR(VLOOKUP($A5,ClassGrupFases!$C$6:$Q$10,3,FALSE),"")</f>
        <v>0.44444444444444442</v>
      </c>
      <c r="E5" s="49">
        <f ca="1">IFERROR(VLOOKUP($A5,ClassGrupFases!$C$6:$Q$10,4,FALSE),"")</f>
        <v>4</v>
      </c>
      <c r="F5" s="49">
        <f ca="1">IFERROR(VLOOKUP($A5,ClassGrupFases!$C$6:$Q$10,5,FALSE),"")</f>
        <v>3</v>
      </c>
      <c r="G5" s="49">
        <f ca="1">IFERROR(VLOOKUP($A5,ClassGrupFases!$C$6:$Q$10,6,FALSE),"")</f>
        <v>1</v>
      </c>
      <c r="H5" s="49">
        <f ca="1">IFERROR(VLOOKUP($A5,ClassGrupFases!$C$6:$Q$10,7,FALSE),"")</f>
        <v>1</v>
      </c>
      <c r="I5" s="49">
        <f ca="1">IFERROR(VLOOKUP($A5,ClassGrupFases!$C$6:$Q$10,8,FALSE),"")</f>
        <v>1</v>
      </c>
      <c r="J5" s="49">
        <f ca="1">IFERROR(VLOOKUP($A5,ClassGrupFases!$C$6:$Q$10,9,FALSE),"")</f>
        <v>2</v>
      </c>
      <c r="K5" s="49">
        <f ca="1">IFERROR(VLOOKUP($A5,ClassGrupFases!$C$6:$Q$10,10,FALSE),"")</f>
        <v>2</v>
      </c>
      <c r="L5" s="49">
        <f ca="1">IFERROR(VLOOKUP($A5,ClassGrupFases!$C$6:$Q$10,11,FALSE),"")</f>
        <v>0</v>
      </c>
      <c r="M5" s="41">
        <f ca="1">IFERROR(VLOOKUP($A5,ClassGrupFases!$C$6:$Q$10,1,FALSE),"")</f>
        <v>2</v>
      </c>
    </row>
    <row r="6" spans="1:13" x14ac:dyDescent="0.3">
      <c r="A6" s="37">
        <v>3</v>
      </c>
      <c r="B6" s="46">
        <f ca="1">IFERROR(VLOOKUP($A6,ClassGrupFases!$C$6:$Q$10,15,FALSE),"")</f>
        <v>3</v>
      </c>
      <c r="C6" s="47" t="str">
        <f ca="1">IFERROR(VLOOKUP($A6,ClassGrupFases!$C$6:$Q$10,2,FALSE),"")</f>
        <v>Luiz Coelho</v>
      </c>
      <c r="D6" s="48">
        <f ca="1">IFERROR(VLOOKUP($A6,ClassGrupFases!$C$6:$Q$10,3,FALSE),"")</f>
        <v>0.44444444444444442</v>
      </c>
      <c r="E6" s="49">
        <f ca="1">IFERROR(VLOOKUP($A6,ClassGrupFases!$C$6:$Q$10,4,FALSE),"")</f>
        <v>4</v>
      </c>
      <c r="F6" s="49">
        <f ca="1">IFERROR(VLOOKUP($A6,ClassGrupFases!$C$6:$Q$10,5,FALSE),"")</f>
        <v>3</v>
      </c>
      <c r="G6" s="49">
        <f ca="1">IFERROR(VLOOKUP($A6,ClassGrupFases!$C$6:$Q$10,6,FALSE),"")</f>
        <v>1</v>
      </c>
      <c r="H6" s="49">
        <f ca="1">IFERROR(VLOOKUP($A6,ClassGrupFases!$C$6:$Q$10,7,FALSE),"")</f>
        <v>1</v>
      </c>
      <c r="I6" s="49">
        <f ca="1">IFERROR(VLOOKUP($A6,ClassGrupFases!$C$6:$Q$10,8,FALSE),"")</f>
        <v>1</v>
      </c>
      <c r="J6" s="49">
        <f ca="1">IFERROR(VLOOKUP($A6,ClassGrupFases!$C$6:$Q$10,9,FALSE),"")</f>
        <v>1</v>
      </c>
      <c r="K6" s="49">
        <f ca="1">IFERROR(VLOOKUP($A6,ClassGrupFases!$C$6:$Q$10,10,FALSE),"")</f>
        <v>2</v>
      </c>
      <c r="L6" s="49">
        <f ca="1">IFERROR(VLOOKUP($A6,ClassGrupFases!$C$6:$Q$10,11,FALSE),"")</f>
        <v>-1</v>
      </c>
      <c r="M6" s="41">
        <f ca="1">IFERROR(VLOOKUP($A6,ClassGrupFases!$C$6:$Q$10,1,FALSE),"")</f>
        <v>3</v>
      </c>
    </row>
    <row r="7" spans="1:13" x14ac:dyDescent="0.3">
      <c r="A7" s="37">
        <v>4</v>
      </c>
      <c r="B7" s="50">
        <f ca="1">IFERROR(VLOOKUP($A7,ClassGrupFases!$C$6:$Q$10,15,FALSE),"")</f>
        <v>4</v>
      </c>
      <c r="C7" s="51" t="str">
        <f ca="1">IFERROR(VLOOKUP($A7,ClassGrupFases!$C$6:$Q$10,2,FALSE),"")</f>
        <v>WO 1</v>
      </c>
      <c r="D7" s="52">
        <f ca="1">IFERROR(VLOOKUP($A7,ClassGrupFases!$C$6:$Q$10,3,FALSE),"")</f>
        <v>0</v>
      </c>
      <c r="E7" s="53">
        <f ca="1">IFERROR(VLOOKUP($A7,ClassGrupFases!$C$6:$Q$10,4,FALSE),"")</f>
        <v>0</v>
      </c>
      <c r="F7" s="53">
        <f ca="1">IFERROR(VLOOKUP($A7,ClassGrupFases!$C$6:$Q$10,5,FALSE),"")</f>
        <v>3</v>
      </c>
      <c r="G7" s="53">
        <f ca="1">IFERROR(VLOOKUP($A7,ClassGrupFases!$C$6:$Q$10,6,FALSE),"")</f>
        <v>0</v>
      </c>
      <c r="H7" s="53">
        <f ca="1">IFERROR(VLOOKUP($A7,ClassGrupFases!$C$6:$Q$10,7,FALSE),"")</f>
        <v>0</v>
      </c>
      <c r="I7" s="53">
        <f ca="1">IFERROR(VLOOKUP($A7,ClassGrupFases!$C$6:$Q$10,8,FALSE),"")</f>
        <v>3</v>
      </c>
      <c r="J7" s="53">
        <f ca="1">IFERROR(VLOOKUP($A7,ClassGrupFases!$C$6:$Q$10,9,FALSE),"")</f>
        <v>0</v>
      </c>
      <c r="K7" s="53">
        <f ca="1">IFERROR(VLOOKUP($A7,ClassGrupFases!$C$6:$Q$10,10,FALSE),"")</f>
        <v>3</v>
      </c>
      <c r="L7" s="53">
        <f ca="1">IFERROR(VLOOKUP($A7,ClassGrupFases!$C$6:$Q$10,11,FALSE),"")</f>
        <v>-3</v>
      </c>
      <c r="M7" s="41">
        <f ca="1">IFERROR(VLOOKUP($A7,ClassGrupFases!$C$6:$Q$10,1,FALSE),"")</f>
        <v>4</v>
      </c>
    </row>
    <row r="9" spans="1:13" x14ac:dyDescent="0.3">
      <c r="B9" s="43" t="s">
        <v>23</v>
      </c>
      <c r="C9" s="44" t="s">
        <v>29</v>
      </c>
      <c r="D9" s="45" t="s">
        <v>30</v>
      </c>
      <c r="E9" s="45" t="s">
        <v>31</v>
      </c>
      <c r="F9" s="45" t="s">
        <v>13</v>
      </c>
      <c r="G9" s="45" t="s">
        <v>14</v>
      </c>
      <c r="H9" s="45" t="s">
        <v>15</v>
      </c>
      <c r="I9" s="45" t="s">
        <v>16</v>
      </c>
      <c r="J9" s="45" t="s">
        <v>32</v>
      </c>
      <c r="K9" s="45" t="s">
        <v>33</v>
      </c>
      <c r="L9" s="45" t="s">
        <v>34</v>
      </c>
    </row>
    <row r="10" spans="1:13" x14ac:dyDescent="0.3">
      <c r="A10" s="37">
        <v>1</v>
      </c>
      <c r="B10" s="46">
        <f ca="1">IFERROR(VLOOKUP($A10,ClassGrupFases!$C$12:$Q$16,15,FALSE),"")</f>
        <v>1</v>
      </c>
      <c r="C10" s="47" t="str">
        <f ca="1">IFERROR(VLOOKUP($A10,ClassGrupFases!$C$12:$Q$16,2,FALSE),"")</f>
        <v>Marielcio</v>
      </c>
      <c r="D10" s="48">
        <f ca="1">IFERROR(VLOOKUP($A10,ClassGrupFases!$C$12:$Q$16,3,FALSE),"")</f>
        <v>0.66666666666666663</v>
      </c>
      <c r="E10" s="49">
        <f ca="1">IFERROR(VLOOKUP($A10,ClassGrupFases!$C$12:$Q$16,4,FALSE),"")</f>
        <v>6</v>
      </c>
      <c r="F10" s="49">
        <f ca="1">IFERROR(VLOOKUP($A10,ClassGrupFases!$C$12:$Q$16,5,FALSE),"")</f>
        <v>3</v>
      </c>
      <c r="G10" s="49">
        <f ca="1">IFERROR(VLOOKUP($A10,ClassGrupFases!$C$12:$Q$16,6,FALSE),"")</f>
        <v>2</v>
      </c>
      <c r="H10" s="49">
        <f ca="1">IFERROR(VLOOKUP($A10,ClassGrupFases!$C$12:$Q$16,7,FALSE),"")</f>
        <v>0</v>
      </c>
      <c r="I10" s="49">
        <f ca="1">IFERROR(VLOOKUP($A10,ClassGrupFases!$C$12:$Q$16,8,FALSE),"")</f>
        <v>1</v>
      </c>
      <c r="J10" s="49">
        <f ca="1">IFERROR(VLOOKUP($A10,ClassGrupFases!$C$12:$Q$16,9,FALSE),"")</f>
        <v>4</v>
      </c>
      <c r="K10" s="49">
        <f ca="1">IFERROR(VLOOKUP($A10,ClassGrupFases!$C$12:$Q$16,10,FALSE),"")</f>
        <v>2</v>
      </c>
      <c r="L10" s="49">
        <f ca="1">IFERROR(VLOOKUP($A10,ClassGrupFases!$C$12:$Q$16,11,FALSE),"")</f>
        <v>2</v>
      </c>
      <c r="M10" s="41">
        <f ca="1">IFERROR(VLOOKUP($A10,ClassGrupFases!$C$12:$Q$16,1,FALSE),"")</f>
        <v>1</v>
      </c>
    </row>
    <row r="11" spans="1:13" x14ac:dyDescent="0.3">
      <c r="A11" s="37">
        <v>2</v>
      </c>
      <c r="B11" s="46">
        <f ca="1">IFERROR(VLOOKUP($A11,ClassGrupFases!$C$12:$Q$16,15,FALSE),"")</f>
        <v>2</v>
      </c>
      <c r="C11" s="47" t="str">
        <f ca="1">IFERROR(VLOOKUP($A11,ClassGrupFases!$C$12:$Q$16,2,FALSE),"")</f>
        <v>Reginaldo</v>
      </c>
      <c r="D11" s="48">
        <f ca="1">IFERROR(VLOOKUP($A11,ClassGrupFases!$C$12:$Q$16,3,FALSE),"")</f>
        <v>0.66666666666666663</v>
      </c>
      <c r="E11" s="49">
        <f ca="1">IFERROR(VLOOKUP($A11,ClassGrupFases!$C$12:$Q$16,4,FALSE),"")</f>
        <v>6</v>
      </c>
      <c r="F11" s="49">
        <f ca="1">IFERROR(VLOOKUP($A11,ClassGrupFases!$C$12:$Q$16,5,FALSE),"")</f>
        <v>3</v>
      </c>
      <c r="G11" s="49">
        <f ca="1">IFERROR(VLOOKUP($A11,ClassGrupFases!$C$12:$Q$16,6,FALSE),"")</f>
        <v>2</v>
      </c>
      <c r="H11" s="49">
        <f ca="1">IFERROR(VLOOKUP($A11,ClassGrupFases!$C$12:$Q$16,7,FALSE),"")</f>
        <v>0</v>
      </c>
      <c r="I11" s="49">
        <f ca="1">IFERROR(VLOOKUP($A11,ClassGrupFases!$C$12:$Q$16,8,FALSE),"")</f>
        <v>1</v>
      </c>
      <c r="J11" s="49">
        <f ca="1">IFERROR(VLOOKUP($A11,ClassGrupFases!$C$12:$Q$16,9,FALSE),"")</f>
        <v>2</v>
      </c>
      <c r="K11" s="49">
        <f ca="1">IFERROR(VLOOKUP($A11,ClassGrupFases!$C$12:$Q$16,10,FALSE),"")</f>
        <v>1</v>
      </c>
      <c r="L11" s="49">
        <f ca="1">IFERROR(VLOOKUP($A11,ClassGrupFases!$C$12:$Q$16,11,FALSE),"")</f>
        <v>1</v>
      </c>
      <c r="M11" s="41">
        <f ca="1">IFERROR(VLOOKUP($A11,ClassGrupFases!$C$12:$Q$16,1,FALSE),"")</f>
        <v>2</v>
      </c>
    </row>
    <row r="12" spans="1:13" x14ac:dyDescent="0.3">
      <c r="A12" s="37">
        <v>3</v>
      </c>
      <c r="B12" s="46">
        <f ca="1">IFERROR(VLOOKUP($A12,ClassGrupFases!$C$12:$Q$16,15,FALSE),"")</f>
        <v>3</v>
      </c>
      <c r="C12" s="47" t="str">
        <f ca="1">IFERROR(VLOOKUP($A12,ClassGrupFases!$C$12:$Q$16,2,FALSE),"")</f>
        <v>Leo Carioca</v>
      </c>
      <c r="D12" s="48">
        <f ca="1">IFERROR(VLOOKUP($A12,ClassGrupFases!$C$12:$Q$16,3,FALSE),"")</f>
        <v>0.66666666666666663</v>
      </c>
      <c r="E12" s="49">
        <f ca="1">IFERROR(VLOOKUP($A12,ClassGrupFases!$C$12:$Q$16,4,FALSE),"")</f>
        <v>6</v>
      </c>
      <c r="F12" s="49">
        <f ca="1">IFERROR(VLOOKUP($A12,ClassGrupFases!$C$12:$Q$16,5,FALSE),"")</f>
        <v>3</v>
      </c>
      <c r="G12" s="49">
        <f ca="1">IFERROR(VLOOKUP($A12,ClassGrupFases!$C$12:$Q$16,6,FALSE),"")</f>
        <v>2</v>
      </c>
      <c r="H12" s="49">
        <f ca="1">IFERROR(VLOOKUP($A12,ClassGrupFases!$C$12:$Q$16,7,FALSE),"")</f>
        <v>0</v>
      </c>
      <c r="I12" s="49">
        <f ca="1">IFERROR(VLOOKUP($A12,ClassGrupFases!$C$12:$Q$16,8,FALSE),"")</f>
        <v>1</v>
      </c>
      <c r="J12" s="49">
        <f ca="1">IFERROR(VLOOKUP($A12,ClassGrupFases!$C$12:$Q$16,9,FALSE),"")</f>
        <v>3</v>
      </c>
      <c r="K12" s="49">
        <f ca="1">IFERROR(VLOOKUP($A12,ClassGrupFases!$C$12:$Q$16,10,FALSE),"")</f>
        <v>3</v>
      </c>
      <c r="L12" s="49">
        <f ca="1">IFERROR(VLOOKUP($A12,ClassGrupFases!$C$12:$Q$16,11,FALSE),"")</f>
        <v>0</v>
      </c>
      <c r="M12" s="41">
        <f ca="1">IFERROR(VLOOKUP($A12,ClassGrupFases!$C$12:$Q$16,1,FALSE),"")</f>
        <v>3</v>
      </c>
    </row>
    <row r="13" spans="1:13" x14ac:dyDescent="0.3">
      <c r="A13" s="37">
        <v>4</v>
      </c>
      <c r="B13" s="50">
        <f ca="1">IFERROR(VLOOKUP($A13,ClassGrupFases!$C$12:$Q$16,15,FALSE),"")</f>
        <v>4</v>
      </c>
      <c r="C13" s="51" t="str">
        <f ca="1">IFERROR(VLOOKUP($A13,ClassGrupFases!$C$12:$Q$16,2,FALSE),"")</f>
        <v>WO 2</v>
      </c>
      <c r="D13" s="52">
        <f ca="1">IFERROR(VLOOKUP($A13,ClassGrupFases!$C$12:$Q$16,3,FALSE),"")</f>
        <v>0</v>
      </c>
      <c r="E13" s="53">
        <f ca="1">IFERROR(VLOOKUP($A13,ClassGrupFases!$C$12:$Q$16,4,FALSE),"")</f>
        <v>0</v>
      </c>
      <c r="F13" s="53">
        <f ca="1">IFERROR(VLOOKUP($A13,ClassGrupFases!$C$12:$Q$16,5,FALSE),"")</f>
        <v>3</v>
      </c>
      <c r="G13" s="53">
        <f ca="1">IFERROR(VLOOKUP($A13,ClassGrupFases!$C$12:$Q$16,6,FALSE),"")</f>
        <v>0</v>
      </c>
      <c r="H13" s="53">
        <f ca="1">IFERROR(VLOOKUP($A13,ClassGrupFases!$C$12:$Q$16,7,FALSE),"")</f>
        <v>0</v>
      </c>
      <c r="I13" s="53">
        <f ca="1">IFERROR(VLOOKUP($A13,ClassGrupFases!$C$12:$Q$16,8,FALSE),"")</f>
        <v>3</v>
      </c>
      <c r="J13" s="53">
        <f ca="1">IFERROR(VLOOKUP($A13,ClassGrupFases!$C$12:$Q$16,9,FALSE),"")</f>
        <v>0</v>
      </c>
      <c r="K13" s="53">
        <f ca="1">IFERROR(VLOOKUP($A13,ClassGrupFases!$C$12:$Q$16,10,FALSE),"")</f>
        <v>3</v>
      </c>
      <c r="L13" s="53">
        <f ca="1">IFERROR(VLOOKUP($A13,ClassGrupFases!$C$12:$Q$16,11,FALSE),"")</f>
        <v>-3</v>
      </c>
      <c r="M13" s="41">
        <f ca="1">IFERROR(VLOOKUP($A13,ClassGrupFases!$C$12:$Q$16,1,FALSE),"")</f>
        <v>4</v>
      </c>
    </row>
    <row r="15" spans="1:13" x14ac:dyDescent="0.3">
      <c r="B15" s="43" t="s">
        <v>24</v>
      </c>
      <c r="C15" s="44" t="s">
        <v>29</v>
      </c>
      <c r="D15" s="45" t="s">
        <v>30</v>
      </c>
      <c r="E15" s="45" t="s">
        <v>31</v>
      </c>
      <c r="F15" s="45" t="s">
        <v>13</v>
      </c>
      <c r="G15" s="45" t="s">
        <v>14</v>
      </c>
      <c r="H15" s="45" t="s">
        <v>15</v>
      </c>
      <c r="I15" s="45" t="s">
        <v>16</v>
      </c>
      <c r="J15" s="45" t="s">
        <v>32</v>
      </c>
      <c r="K15" s="45" t="s">
        <v>33</v>
      </c>
      <c r="L15" s="45" t="s">
        <v>34</v>
      </c>
    </row>
    <row r="16" spans="1:13" x14ac:dyDescent="0.3">
      <c r="A16" s="37">
        <v>1</v>
      </c>
      <c r="B16" s="46">
        <f ca="1">IFERROR(VLOOKUP($A16,ClassGrupFases!$C$18:$Q$22,15,FALSE),"")</f>
        <v>1</v>
      </c>
      <c r="C16" s="47" t="str">
        <f ca="1">IFERROR(VLOOKUP($A16,ClassGrupFases!$C$18:$Q$22,2,FALSE),"")</f>
        <v>DJ Iury</v>
      </c>
      <c r="D16" s="48">
        <f ca="1">IFERROR(VLOOKUP($A16,ClassGrupFases!$C$18:$Q$22,3,FALSE),"")</f>
        <v>1</v>
      </c>
      <c r="E16" s="49">
        <f ca="1">IFERROR(VLOOKUP($A16,ClassGrupFases!$C$18:$Q$22,4,FALSE),"")</f>
        <v>9</v>
      </c>
      <c r="F16" s="49">
        <f ca="1">IFERROR(VLOOKUP($A16,ClassGrupFases!$C$18:$Q$22,5,FALSE),"")</f>
        <v>3</v>
      </c>
      <c r="G16" s="49">
        <f ca="1">IFERROR(VLOOKUP($A16,ClassGrupFases!$C$18:$Q$22,6,FALSE),"")</f>
        <v>3</v>
      </c>
      <c r="H16" s="49">
        <f ca="1">IFERROR(VLOOKUP($A16,ClassGrupFases!$C$18:$Q$22,7,FALSE),"")</f>
        <v>0</v>
      </c>
      <c r="I16" s="49">
        <f ca="1">IFERROR(VLOOKUP($A16,ClassGrupFases!$C$18:$Q$22,8,FALSE),"")</f>
        <v>0</v>
      </c>
      <c r="J16" s="49">
        <f ca="1">IFERROR(VLOOKUP($A16,ClassGrupFases!$C$18:$Q$22,9,FALSE),"")</f>
        <v>4</v>
      </c>
      <c r="K16" s="49">
        <f ca="1">IFERROR(VLOOKUP($A16,ClassGrupFases!$C$18:$Q$22,10,FALSE),"")</f>
        <v>0</v>
      </c>
      <c r="L16" s="49">
        <f ca="1">IFERROR(VLOOKUP($A16,ClassGrupFases!$C$18:$Q$22,11,FALSE),"")</f>
        <v>4</v>
      </c>
      <c r="M16" s="41">
        <f ca="1">IFERROR(VLOOKUP($A16,ClassGrupFases!$C$18:$Q$22,1,FALSE),"")</f>
        <v>1</v>
      </c>
    </row>
    <row r="17" spans="1:13" x14ac:dyDescent="0.3">
      <c r="A17" s="37">
        <v>2</v>
      </c>
      <c r="B17" s="46">
        <f ca="1">IFERROR(VLOOKUP($A17,ClassGrupFases!$C$18:$Q$22,15,FALSE),"")</f>
        <v>2</v>
      </c>
      <c r="C17" s="47" t="str">
        <f ca="1">IFERROR(VLOOKUP($A17,ClassGrupFases!$C$18:$Q$22,2,FALSE),"")</f>
        <v>Professor</v>
      </c>
      <c r="D17" s="48">
        <f ca="1">IFERROR(VLOOKUP($A17,ClassGrupFases!$C$18:$Q$22,3,FALSE),"")</f>
        <v>0.66666666666666663</v>
      </c>
      <c r="E17" s="49">
        <f ca="1">IFERROR(VLOOKUP($A17,ClassGrupFases!$C$18:$Q$22,4,FALSE),"")</f>
        <v>6</v>
      </c>
      <c r="F17" s="49">
        <f ca="1">IFERROR(VLOOKUP($A17,ClassGrupFases!$C$18:$Q$22,5,FALSE),"")</f>
        <v>3</v>
      </c>
      <c r="G17" s="49">
        <f ca="1">IFERROR(VLOOKUP($A17,ClassGrupFases!$C$18:$Q$22,6,FALSE),"")</f>
        <v>2</v>
      </c>
      <c r="H17" s="49">
        <f ca="1">IFERROR(VLOOKUP($A17,ClassGrupFases!$C$18:$Q$22,7,FALSE),"")</f>
        <v>0</v>
      </c>
      <c r="I17" s="49">
        <f ca="1">IFERROR(VLOOKUP($A17,ClassGrupFases!$C$18:$Q$22,8,FALSE),"")</f>
        <v>1</v>
      </c>
      <c r="J17" s="49">
        <f ca="1">IFERROR(VLOOKUP($A17,ClassGrupFases!$C$18:$Q$22,9,FALSE),"")</f>
        <v>4</v>
      </c>
      <c r="K17" s="49">
        <f ca="1">IFERROR(VLOOKUP($A17,ClassGrupFases!$C$18:$Q$22,10,FALSE),"")</f>
        <v>4</v>
      </c>
      <c r="L17" s="49">
        <f ca="1">IFERROR(VLOOKUP($A17,ClassGrupFases!$C$18:$Q$22,11,FALSE),"")</f>
        <v>0</v>
      </c>
      <c r="M17" s="41">
        <f ca="1">IFERROR(VLOOKUP($A17,ClassGrupFases!$C$18:$Q$22,1,FALSE),"")</f>
        <v>2</v>
      </c>
    </row>
    <row r="18" spans="1:13" x14ac:dyDescent="0.3">
      <c r="A18" s="37">
        <v>3</v>
      </c>
      <c r="B18" s="46">
        <f ca="1">IFERROR(VLOOKUP($A18,ClassGrupFases!$C$18:$Q$22,15,FALSE),"")</f>
        <v>3</v>
      </c>
      <c r="C18" s="47" t="str">
        <f ca="1">IFERROR(VLOOKUP($A18,ClassGrupFases!$C$18:$Q$22,2,FALSE),"")</f>
        <v>Cristiano</v>
      </c>
      <c r="D18" s="48">
        <f ca="1">IFERROR(VLOOKUP($A18,ClassGrupFases!$C$18:$Q$22,3,FALSE),"")</f>
        <v>0.33333333333333331</v>
      </c>
      <c r="E18" s="49">
        <f ca="1">IFERROR(VLOOKUP($A18,ClassGrupFases!$C$18:$Q$22,4,FALSE),"")</f>
        <v>3</v>
      </c>
      <c r="F18" s="49">
        <f ca="1">IFERROR(VLOOKUP($A18,ClassGrupFases!$C$18:$Q$22,5,FALSE),"")</f>
        <v>3</v>
      </c>
      <c r="G18" s="49">
        <f ca="1">IFERROR(VLOOKUP($A18,ClassGrupFases!$C$18:$Q$22,6,FALSE),"")</f>
        <v>1</v>
      </c>
      <c r="H18" s="49">
        <f ca="1">IFERROR(VLOOKUP($A18,ClassGrupFases!$C$18:$Q$22,7,FALSE),"")</f>
        <v>0</v>
      </c>
      <c r="I18" s="49">
        <f ca="1">IFERROR(VLOOKUP($A18,ClassGrupFases!$C$18:$Q$22,8,FALSE),"")</f>
        <v>2</v>
      </c>
      <c r="J18" s="49">
        <f ca="1">IFERROR(VLOOKUP($A18,ClassGrupFases!$C$18:$Q$22,9,FALSE),"")</f>
        <v>3</v>
      </c>
      <c r="K18" s="49">
        <f ca="1">IFERROR(VLOOKUP($A18,ClassGrupFases!$C$18:$Q$22,10,FALSE),"")</f>
        <v>4</v>
      </c>
      <c r="L18" s="49">
        <f ca="1">IFERROR(VLOOKUP($A18,ClassGrupFases!$C$18:$Q$22,11,FALSE),"")</f>
        <v>-1</v>
      </c>
      <c r="M18" s="41">
        <f ca="1">IFERROR(VLOOKUP($A18,ClassGrupFases!$C$18:$Q$22,1,FALSE),"")</f>
        <v>3</v>
      </c>
    </row>
    <row r="19" spans="1:13" x14ac:dyDescent="0.3">
      <c r="A19" s="37">
        <v>4</v>
      </c>
      <c r="B19" s="50">
        <f ca="1">IFERROR(VLOOKUP($A19,ClassGrupFases!$C$18:$Q$22,15,FALSE),"")</f>
        <v>4</v>
      </c>
      <c r="C19" s="51" t="str">
        <f ca="1">IFERROR(VLOOKUP($A19,ClassGrupFases!$C$18:$Q$22,2,FALSE),"")</f>
        <v>WO 3</v>
      </c>
      <c r="D19" s="52">
        <f ca="1">IFERROR(VLOOKUP($A19,ClassGrupFases!$C$18:$Q$22,3,FALSE),"")</f>
        <v>0</v>
      </c>
      <c r="E19" s="53">
        <f ca="1">IFERROR(VLOOKUP($A19,ClassGrupFases!$C$18:$Q$22,4,FALSE),"")</f>
        <v>0</v>
      </c>
      <c r="F19" s="53">
        <f ca="1">IFERROR(VLOOKUP($A19,ClassGrupFases!$C$18:$Q$22,5,FALSE),"")</f>
        <v>3</v>
      </c>
      <c r="G19" s="53">
        <f ca="1">IFERROR(VLOOKUP($A19,ClassGrupFases!$C$18:$Q$22,6,FALSE),"")</f>
        <v>0</v>
      </c>
      <c r="H19" s="53">
        <f ca="1">IFERROR(VLOOKUP($A19,ClassGrupFases!$C$18:$Q$22,7,FALSE),"")</f>
        <v>0</v>
      </c>
      <c r="I19" s="53">
        <f ca="1">IFERROR(VLOOKUP($A19,ClassGrupFases!$C$18:$Q$22,8,FALSE),"")</f>
        <v>3</v>
      </c>
      <c r="J19" s="53">
        <f ca="1">IFERROR(VLOOKUP($A19,ClassGrupFases!$C$18:$Q$22,9,FALSE),"")</f>
        <v>0</v>
      </c>
      <c r="K19" s="53">
        <f ca="1">IFERROR(VLOOKUP($A19,ClassGrupFases!$C$18:$Q$22,10,FALSE),"")</f>
        <v>3</v>
      </c>
      <c r="L19" s="53">
        <f ca="1">IFERROR(VLOOKUP($A19,ClassGrupFases!$C$18:$Q$22,11,FALSE),"")</f>
        <v>-3</v>
      </c>
      <c r="M19" s="41">
        <f ca="1">IFERROR(VLOOKUP($A19,ClassGrupFases!$C$18:$Q$22,1,FALSE),"")</f>
        <v>4</v>
      </c>
    </row>
    <row r="21" spans="1:13" x14ac:dyDescent="0.3">
      <c r="B21" s="43" t="s">
        <v>16</v>
      </c>
      <c r="C21" s="44" t="s">
        <v>29</v>
      </c>
      <c r="D21" s="45" t="s">
        <v>30</v>
      </c>
      <c r="E21" s="45" t="s">
        <v>31</v>
      </c>
      <c r="F21" s="45" t="s">
        <v>13</v>
      </c>
      <c r="G21" s="45" t="s">
        <v>14</v>
      </c>
      <c r="H21" s="45" t="s">
        <v>15</v>
      </c>
      <c r="I21" s="45" t="s">
        <v>16</v>
      </c>
      <c r="J21" s="45" t="s">
        <v>32</v>
      </c>
      <c r="K21" s="45" t="s">
        <v>33</v>
      </c>
      <c r="L21" s="45" t="s">
        <v>34</v>
      </c>
    </row>
    <row r="22" spans="1:13" x14ac:dyDescent="0.3">
      <c r="A22" s="37">
        <v>1</v>
      </c>
      <c r="B22" s="46">
        <f ca="1">IFERROR(VLOOKUP($A22,ClassGrupFases!$C$24:$Q$28,15,FALSE),"")</f>
        <v>1</v>
      </c>
      <c r="C22" s="47" t="str">
        <f ca="1">IFERROR(VLOOKUP($A22,ClassGrupFases!$C$24:$Q$28,2,FALSE),"")</f>
        <v>Mura</v>
      </c>
      <c r="D22" s="48">
        <f ca="1">IFERROR(VLOOKUP($A22,ClassGrupFases!$C$24:$Q$28,3,FALSE),"")</f>
        <v>0.77777777777777779</v>
      </c>
      <c r="E22" s="49">
        <f ca="1">IFERROR(VLOOKUP($A22,ClassGrupFases!$C$24:$Q$28,4,FALSE),"")</f>
        <v>7</v>
      </c>
      <c r="F22" s="49">
        <f ca="1">IFERROR(VLOOKUP($A22,ClassGrupFases!$C$24:$Q$28,5,FALSE),"")</f>
        <v>3</v>
      </c>
      <c r="G22" s="49">
        <f ca="1">IFERROR(VLOOKUP($A22,ClassGrupFases!$C$24:$Q$28,6,FALSE),"")</f>
        <v>2</v>
      </c>
      <c r="H22" s="49">
        <f ca="1">IFERROR(VLOOKUP($A22,ClassGrupFases!$C$24:$Q$28,7,FALSE),"")</f>
        <v>1</v>
      </c>
      <c r="I22" s="49">
        <f ca="1">IFERROR(VLOOKUP($A22,ClassGrupFases!$C$24:$Q$28,8,FALSE),"")</f>
        <v>0</v>
      </c>
      <c r="J22" s="49">
        <f ca="1">IFERROR(VLOOKUP($A22,ClassGrupFases!$C$24:$Q$28,9,FALSE),"")</f>
        <v>3</v>
      </c>
      <c r="K22" s="49">
        <f ca="1">IFERROR(VLOOKUP($A22,ClassGrupFases!$C$24:$Q$28,10,FALSE),"")</f>
        <v>1</v>
      </c>
      <c r="L22" s="49">
        <f ca="1">IFERROR(VLOOKUP($A22,ClassGrupFases!$C$24:$Q$28,11,FALSE),"")</f>
        <v>2</v>
      </c>
      <c r="M22" s="41">
        <f ca="1">IFERROR(VLOOKUP($A22,ClassGrupFases!$C$24:$Q$28,1,FALSE),"")</f>
        <v>1</v>
      </c>
    </row>
    <row r="23" spans="1:13" x14ac:dyDescent="0.3">
      <c r="A23" s="37">
        <v>2</v>
      </c>
      <c r="B23" s="46">
        <f ca="1">IFERROR(VLOOKUP($A23,ClassGrupFases!$C$24:$Q$28,15,FALSE),"")</f>
        <v>2</v>
      </c>
      <c r="C23" s="47" t="str">
        <f ca="1">IFERROR(VLOOKUP($A23,ClassGrupFases!$C$24:$Q$28,2,FALSE),"")</f>
        <v>Pepe</v>
      </c>
      <c r="D23" s="48">
        <f ca="1">IFERROR(VLOOKUP($A23,ClassGrupFases!$C$24:$Q$28,3,FALSE),"")</f>
        <v>0.55555555555555558</v>
      </c>
      <c r="E23" s="49">
        <f ca="1">IFERROR(VLOOKUP($A23,ClassGrupFases!$C$24:$Q$28,4,FALSE),"")</f>
        <v>5</v>
      </c>
      <c r="F23" s="49">
        <f ca="1">IFERROR(VLOOKUP($A23,ClassGrupFases!$C$24:$Q$28,5,FALSE),"")</f>
        <v>3</v>
      </c>
      <c r="G23" s="49">
        <f ca="1">IFERROR(VLOOKUP($A23,ClassGrupFases!$C$24:$Q$28,6,FALSE),"")</f>
        <v>1</v>
      </c>
      <c r="H23" s="49">
        <f ca="1">IFERROR(VLOOKUP($A23,ClassGrupFases!$C$24:$Q$28,7,FALSE),"")</f>
        <v>2</v>
      </c>
      <c r="I23" s="49">
        <f ca="1">IFERROR(VLOOKUP($A23,ClassGrupFases!$C$24:$Q$28,8,FALSE),"")</f>
        <v>0</v>
      </c>
      <c r="J23" s="49">
        <f ca="1">IFERROR(VLOOKUP($A23,ClassGrupFases!$C$24:$Q$28,9,FALSE),"")</f>
        <v>1</v>
      </c>
      <c r="K23" s="49">
        <f ca="1">IFERROR(VLOOKUP($A23,ClassGrupFases!$C$24:$Q$28,10,FALSE),"")</f>
        <v>0</v>
      </c>
      <c r="L23" s="49">
        <f ca="1">IFERROR(VLOOKUP($A23,ClassGrupFases!$C$24:$Q$28,11,FALSE),"")</f>
        <v>1</v>
      </c>
      <c r="M23" s="41">
        <f ca="1">IFERROR(VLOOKUP($A23,ClassGrupFases!$C$24:$Q$28,1,FALSE),"")</f>
        <v>2</v>
      </c>
    </row>
    <row r="24" spans="1:13" x14ac:dyDescent="0.3">
      <c r="A24" s="37">
        <v>3</v>
      </c>
      <c r="B24" s="46">
        <f ca="1">IFERROR(VLOOKUP($A24,ClassGrupFases!$C$24:$Q$28,15,FALSE),"")</f>
        <v>3</v>
      </c>
      <c r="C24" s="47" t="str">
        <f ca="1">IFERROR(VLOOKUP($A24,ClassGrupFases!$C$24:$Q$28,2,FALSE),"")</f>
        <v>Luiz Moreira</v>
      </c>
      <c r="D24" s="48">
        <f ca="1">IFERROR(VLOOKUP($A24,ClassGrupFases!$C$24:$Q$28,3,FALSE),"")</f>
        <v>0.44444444444444442</v>
      </c>
      <c r="E24" s="49">
        <f ca="1">IFERROR(VLOOKUP($A24,ClassGrupFases!$C$24:$Q$28,4,FALSE),"")</f>
        <v>4</v>
      </c>
      <c r="F24" s="49">
        <f ca="1">IFERROR(VLOOKUP($A24,ClassGrupFases!$C$24:$Q$28,5,FALSE),"")</f>
        <v>3</v>
      </c>
      <c r="G24" s="49">
        <f ca="1">IFERROR(VLOOKUP($A24,ClassGrupFases!$C$24:$Q$28,6,FALSE),"")</f>
        <v>1</v>
      </c>
      <c r="H24" s="49">
        <f ca="1">IFERROR(VLOOKUP($A24,ClassGrupFases!$C$24:$Q$28,7,FALSE),"")</f>
        <v>1</v>
      </c>
      <c r="I24" s="49">
        <f ca="1">IFERROR(VLOOKUP($A24,ClassGrupFases!$C$24:$Q$28,8,FALSE),"")</f>
        <v>1</v>
      </c>
      <c r="J24" s="49">
        <f ca="1">IFERROR(VLOOKUP($A24,ClassGrupFases!$C$24:$Q$28,9,FALSE),"")</f>
        <v>4</v>
      </c>
      <c r="K24" s="49">
        <f ca="1">IFERROR(VLOOKUP($A24,ClassGrupFases!$C$24:$Q$28,10,FALSE),"")</f>
        <v>4</v>
      </c>
      <c r="L24" s="49">
        <f ca="1">IFERROR(VLOOKUP($A24,ClassGrupFases!$C$24:$Q$28,11,FALSE),"")</f>
        <v>0</v>
      </c>
      <c r="M24" s="41">
        <f ca="1">IFERROR(VLOOKUP($A24,ClassGrupFases!$C$24:$Q$28,1,FALSE),"")</f>
        <v>3</v>
      </c>
    </row>
    <row r="25" spans="1:13" x14ac:dyDescent="0.3">
      <c r="A25" s="37">
        <v>4</v>
      </c>
      <c r="B25" s="50">
        <f ca="1">IFERROR(VLOOKUP($A25,ClassGrupFases!$C$24:$Q$28,15,FALSE),"")</f>
        <v>4</v>
      </c>
      <c r="C25" s="51" t="str">
        <f ca="1">IFERROR(VLOOKUP($A25,ClassGrupFases!$C$24:$Q$28,2,FALSE),"")</f>
        <v>Rafael Balieiro</v>
      </c>
      <c r="D25" s="52">
        <f ca="1">IFERROR(VLOOKUP($A25,ClassGrupFases!$C$24:$Q$28,3,FALSE),"")</f>
        <v>0</v>
      </c>
      <c r="E25" s="53">
        <f ca="1">IFERROR(VLOOKUP($A25,ClassGrupFases!$C$24:$Q$28,4,FALSE),"")</f>
        <v>0</v>
      </c>
      <c r="F25" s="53">
        <f ca="1">IFERROR(VLOOKUP($A25,ClassGrupFases!$C$24:$Q$28,5,FALSE),"")</f>
        <v>3</v>
      </c>
      <c r="G25" s="53">
        <f ca="1">IFERROR(VLOOKUP($A25,ClassGrupFases!$C$24:$Q$28,6,FALSE),"")</f>
        <v>0</v>
      </c>
      <c r="H25" s="53">
        <f ca="1">IFERROR(VLOOKUP($A25,ClassGrupFases!$C$24:$Q$28,7,FALSE),"")</f>
        <v>0</v>
      </c>
      <c r="I25" s="53">
        <f ca="1">IFERROR(VLOOKUP($A25,ClassGrupFases!$C$24:$Q$28,8,FALSE),"")</f>
        <v>3</v>
      </c>
      <c r="J25" s="53">
        <f ca="1">IFERROR(VLOOKUP($A25,ClassGrupFases!$C$24:$Q$28,9,FALSE),"")</f>
        <v>2</v>
      </c>
      <c r="K25" s="53">
        <f ca="1">IFERROR(VLOOKUP($A25,ClassGrupFases!$C$24:$Q$28,10,FALSE),"")</f>
        <v>5</v>
      </c>
      <c r="L25" s="53">
        <f ca="1">IFERROR(VLOOKUP($A25,ClassGrupFases!$C$24:$Q$28,11,FALSE),"")</f>
        <v>-3</v>
      </c>
      <c r="M25" s="41">
        <f ca="1">IFERROR(VLOOKUP($A25,ClassGrupFases!$C$24:$Q$28,1,FALSE),"")</f>
        <v>4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showGridLines="0" topLeftCell="B1" workbookViewId="0">
      <pane ySplit="1" topLeftCell="A2" activePane="bottomLeft" state="frozen"/>
      <selection activeCell="B1" sqref="B1"/>
      <selection pane="bottomLeft" activeCell="E6" sqref="E6"/>
    </sheetView>
  </sheetViews>
  <sheetFormatPr defaultColWidth="10.875" defaultRowHeight="17.25" x14ac:dyDescent="0.3"/>
  <cols>
    <col min="1" max="1" width="2.875" style="57" hidden="1" customWidth="1"/>
    <col min="2" max="2" width="40.875" style="36" customWidth="1"/>
    <col min="3" max="5" width="4.875" style="34" customWidth="1"/>
    <col min="6" max="6" width="40.875" style="35" customWidth="1"/>
    <col min="7" max="7" width="2.875" style="57" hidden="1" customWidth="1"/>
    <col min="8" max="8" width="6.875" style="34" customWidth="1"/>
    <col min="9" max="11" width="4.875" style="34" hidden="1" customWidth="1"/>
    <col min="12" max="12" width="10.875" style="36"/>
    <col min="13" max="13" width="4.875" style="58" hidden="1" customWidth="1"/>
    <col min="14" max="14" width="0" style="59" hidden="1" customWidth="1"/>
    <col min="15" max="15" width="4.875" style="58" hidden="1" customWidth="1"/>
    <col min="16" max="16" width="1.875" style="24" hidden="1" customWidth="1"/>
    <col min="17" max="17" width="4.875" style="57" hidden="1" customWidth="1"/>
    <col min="18" max="18" width="0" style="60" hidden="1" customWidth="1"/>
    <col min="19" max="19" width="4.875" style="57" hidden="1" customWidth="1"/>
    <col min="20" max="20" width="0" style="24" hidden="1" customWidth="1"/>
    <col min="21" max="31" width="5.875" style="61" hidden="1" customWidth="1"/>
    <col min="32" max="16384" width="10.875" style="23"/>
  </cols>
  <sheetData>
    <row r="1" spans="1:31" ht="20.25" x14ac:dyDescent="0.3">
      <c r="B1" s="2" t="s">
        <v>56</v>
      </c>
      <c r="R1" s="60" t="s">
        <v>57</v>
      </c>
    </row>
    <row r="2" spans="1:31" x14ac:dyDescent="0.3">
      <c r="B2" s="3" t="s">
        <v>1</v>
      </c>
      <c r="R2" s="60" t="b">
        <f>Jogos!M2*2 = ClassGrupFases!$S$2</f>
        <v>1</v>
      </c>
    </row>
    <row r="3" spans="1:31" ht="25.5" x14ac:dyDescent="0.5">
      <c r="B3" s="63" t="s">
        <v>58</v>
      </c>
      <c r="C3" s="63"/>
      <c r="D3" s="63"/>
      <c r="E3" s="63"/>
      <c r="F3" s="63"/>
      <c r="G3" s="63"/>
      <c r="H3" s="63"/>
      <c r="U3" s="61" t="s">
        <v>13</v>
      </c>
      <c r="V3" s="61" t="s">
        <v>13</v>
      </c>
      <c r="W3" s="61" t="s">
        <v>14</v>
      </c>
      <c r="X3" s="61" t="s">
        <v>15</v>
      </c>
      <c r="Y3" s="61" t="s">
        <v>15</v>
      </c>
      <c r="Z3" s="61" t="s">
        <v>16</v>
      </c>
      <c r="AA3" s="61" t="s">
        <v>17</v>
      </c>
      <c r="AB3" s="61" t="s">
        <v>18</v>
      </c>
      <c r="AC3" s="61" t="s">
        <v>14</v>
      </c>
      <c r="AD3" s="61" t="s">
        <v>19</v>
      </c>
      <c r="AE3" s="61" t="s">
        <v>20</v>
      </c>
    </row>
    <row r="4" spans="1:31" x14ac:dyDescent="0.3">
      <c r="B4" s="66" t="s">
        <v>59</v>
      </c>
      <c r="C4" s="66"/>
      <c r="D4" s="66"/>
      <c r="E4" s="66"/>
      <c r="F4" s="66"/>
      <c r="G4" s="66"/>
      <c r="H4" s="65" t="s">
        <v>60</v>
      </c>
      <c r="L4" s="64">
        <f>Jogos!K3 + TIME(0,60,0)</f>
        <v>44969.520833333328</v>
      </c>
      <c r="M4" s="68" t="s">
        <v>61</v>
      </c>
      <c r="N4" s="67"/>
      <c r="O4" s="67"/>
      <c r="Q4" s="70" t="s">
        <v>62</v>
      </c>
      <c r="R4" s="69"/>
      <c r="S4" s="69"/>
    </row>
    <row r="5" spans="1:31" x14ac:dyDescent="0.3">
      <c r="A5" s="57">
        <v>1</v>
      </c>
      <c r="B5" s="74" t="str">
        <f ca="1">IFERROR(IF($R$2,VLOOKUP($A5,ClassGrupFases!$C$30:$D$33,2,FALSE),""),"")</f>
        <v>Sallys</v>
      </c>
      <c r="C5" s="75">
        <v>5</v>
      </c>
      <c r="D5" s="71" t="s">
        <v>21</v>
      </c>
      <c r="E5" s="75">
        <v>1</v>
      </c>
      <c r="F5" s="72" t="str">
        <f ca="1">IFERROR(IF($R$2,VLOOKUP($G5,ClassGrupFases!$C$30:$D$33,2,FALSE),""),"")</f>
        <v>Marielcio</v>
      </c>
      <c r="G5" s="73">
        <v>4</v>
      </c>
      <c r="H5" s="71">
        <v>1</v>
      </c>
      <c r="I5" s="71"/>
      <c r="J5" s="71"/>
      <c r="K5" s="71"/>
      <c r="M5" s="58">
        <f ca="1">IFERROR(_xlfn.RANK.EQ(O5, O5:O6, 0), "")</f>
        <v>1</v>
      </c>
      <c r="N5" s="59" t="str">
        <f ca="1">IF(OR(C5="", E5=""), "", IF(OR(C5&gt;E5, C5=E5), B5, F5))</f>
        <v>Sallys</v>
      </c>
      <c r="O5" s="58">
        <f ca="1">IF(OR(C5="", E5=""), "", VLOOKUP(N5, ClassGrupFases!$D$6:$P$27, 11, 0))</f>
        <v>100.93040492999999</v>
      </c>
      <c r="Q5" s="57">
        <f ca="1">IFERROR(_xlfn.RANK.EQ(S5, S5:S6, 0) + 2, "")</f>
        <v>4</v>
      </c>
      <c r="R5" s="60" t="str">
        <f ca="1">IF(OR(C5="", E5=""), "", IF(OR(C5&gt;E5, C5=E5), F5, B5))</f>
        <v>Marielcio</v>
      </c>
      <c r="S5" s="57">
        <f ca="1">IF(OR(C5="", E5=""), "", VLOOKUP(R5, ClassGrupFases!$D$6:$P$27, 11, 0))</f>
        <v>67.286870546666663</v>
      </c>
      <c r="U5" s="61" t="str">
        <f ca="1">IF(OR(C5 = "",E5 = ""), "", F5)</f>
        <v>Marielcio</v>
      </c>
      <c r="W5" s="61" t="str">
        <f ca="1">IF(OR(C5 = "",E5 = ""), "", IF(C5&gt;E5,B5, IF(E5&gt;C5,F5, "")))</f>
        <v>Sallys</v>
      </c>
      <c r="X5" s="61" t="str">
        <f>IF(OR(C5 = "",E5 = ""), "", IF(C5=E5,B5, ""))</f>
        <v/>
      </c>
      <c r="Y5" s="61" t="str">
        <f>IF(OR(C5 = "",E5 = ""), "", IF(C5=E5,F5, ""))</f>
        <v/>
      </c>
      <c r="Z5" s="61" t="str">
        <f ca="1">IF(OR(C5 = "",E5 = ""), "", IF(C5&gt;E5,F5, IF(E5&gt;C5,B5, "")))</f>
        <v>Marielcio</v>
      </c>
      <c r="AA5" s="61" t="str">
        <f ca="1">IF(OR(C5 = "",E5 = ""), "", B5)</f>
        <v>Sallys</v>
      </c>
      <c r="AB5" s="61">
        <f>IF(C5 = "", "", C5)</f>
        <v>5</v>
      </c>
      <c r="AC5" s="61" t="str">
        <f ca="1">IF(OR(C5 = "",E5 = ""), "", F5)</f>
        <v>Marielcio</v>
      </c>
      <c r="AD5" s="61">
        <f>IF(E5 = "", "", E5)</f>
        <v>1</v>
      </c>
      <c r="AE5" s="61">
        <f>IF(C5 = "", "", C5)</f>
        <v>5</v>
      </c>
    </row>
    <row r="6" spans="1:31" x14ac:dyDescent="0.3">
      <c r="A6" s="57">
        <v>2</v>
      </c>
      <c r="B6" s="62" t="str">
        <f ca="1">IFERROR(IF($R$2,VLOOKUP($A6,ClassGrupFases!$C$30:$D$33,2,FALSE),""),"")</f>
        <v>DJ Iury</v>
      </c>
      <c r="C6" s="75">
        <v>0</v>
      </c>
      <c r="D6" s="34" t="s">
        <v>21</v>
      </c>
      <c r="E6" s="75">
        <v>0</v>
      </c>
      <c r="F6" s="35" t="str">
        <f ca="1">IFERROR(IF($R$2,VLOOKUP($G6,ClassGrupFases!$C$30:$D$33,2,FALSE),""),"")</f>
        <v>Mura</v>
      </c>
      <c r="G6" s="57">
        <v>3</v>
      </c>
      <c r="H6" s="34">
        <v>2</v>
      </c>
      <c r="M6" s="58">
        <f ca="1">IFERROR(_xlfn.RANK.EQ(O6, O5:O6, 0), "")</f>
        <v>2</v>
      </c>
      <c r="N6" s="59" t="str">
        <f ca="1">IF(OR(C6="", E6=""), "", IF(OR(C6&gt;E6, C6=E6), B6, F6))</f>
        <v>DJ Iury</v>
      </c>
      <c r="O6" s="58">
        <f ca="1">IF(OR(C6="", E6=""), "", VLOOKUP(N6, ClassGrupFases!$D$6:$P$27, 11, 0))</f>
        <v>100.93040379</v>
      </c>
      <c r="Q6" s="57">
        <f ca="1">IFERROR(_xlfn.RANK.EQ(S6, S5:S6, 0) + 2, "")</f>
        <v>3</v>
      </c>
      <c r="R6" s="60" t="str">
        <f ca="1">IF(OR(C6="", E6=""), "", IF(OR(C6&gt;E6, C6=E6), F6, B6))</f>
        <v>Mura</v>
      </c>
      <c r="S6" s="57">
        <f ca="1">IF(OR(C6="", E6=""), "", VLOOKUP(R6, ClassGrupFases!$D$6:$P$27, 11, 0))</f>
        <v>78.497980517777776</v>
      </c>
      <c r="U6" s="61" t="str">
        <f ca="1">IF(OR(C6 = "",E6 = ""), "", F6)</f>
        <v>Mura</v>
      </c>
      <c r="W6" s="61" t="str">
        <f>IF(OR(C6 = "",E6 = ""), "", IF(C6&gt;E6,B6, IF(E6&gt;C6,F6, "")))</f>
        <v/>
      </c>
      <c r="X6" s="61" t="str">
        <f ca="1">IF(OR(C6 = "",E6 = ""), "", IF(C6=E6,B6, ""))</f>
        <v>DJ Iury</v>
      </c>
      <c r="Y6" s="61" t="str">
        <f ca="1">IF(OR(C6 = "",E6 = ""), "", IF(C6=E6,F6, ""))</f>
        <v>Mura</v>
      </c>
      <c r="Z6" s="61" t="str">
        <f>IF(OR(C6 = "",E6 = ""), "", IF(C6&gt;E6,F6, IF(E6&gt;C6,B6, "")))</f>
        <v/>
      </c>
      <c r="AA6" s="61" t="str">
        <f ca="1">IF(OR(C6 = "",E6 = ""), "", B6)</f>
        <v>DJ Iury</v>
      </c>
      <c r="AB6" s="61">
        <f>IF(C6 = "", "", C6)</f>
        <v>0</v>
      </c>
      <c r="AC6" s="61" t="str">
        <f ca="1">IF(OR(C6 = "",E6 = ""), "", F6)</f>
        <v>Mura</v>
      </c>
      <c r="AD6" s="61">
        <f>IF(E6 = "", "", E6)</f>
        <v>0</v>
      </c>
      <c r="AE6" s="61">
        <f>IF(C6 = "", "", C6)</f>
        <v>0</v>
      </c>
    </row>
    <row r="7" spans="1:31" ht="25.5" x14ac:dyDescent="0.5">
      <c r="B7" s="63" t="s">
        <v>63</v>
      </c>
      <c r="C7" s="63"/>
      <c r="D7" s="63"/>
      <c r="E7" s="63"/>
      <c r="F7" s="63"/>
      <c r="G7" s="63"/>
      <c r="H7" s="63"/>
      <c r="U7" s="61" t="s">
        <v>13</v>
      </c>
      <c r="V7" s="61" t="s">
        <v>13</v>
      </c>
      <c r="W7" s="61" t="s">
        <v>14</v>
      </c>
      <c r="X7" s="61" t="s">
        <v>15</v>
      </c>
      <c r="Y7" s="61" t="s">
        <v>15</v>
      </c>
      <c r="Z7" s="61" t="s">
        <v>16</v>
      </c>
      <c r="AA7" s="61" t="s">
        <v>17</v>
      </c>
      <c r="AB7" s="61" t="s">
        <v>18</v>
      </c>
      <c r="AC7" s="61" t="s">
        <v>14</v>
      </c>
      <c r="AD7" s="61" t="s">
        <v>19</v>
      </c>
      <c r="AE7" s="61" t="s">
        <v>20</v>
      </c>
    </row>
    <row r="8" spans="1:31" x14ac:dyDescent="0.3">
      <c r="B8" s="66" t="s">
        <v>59</v>
      </c>
      <c r="C8" s="66"/>
      <c r="D8" s="66"/>
      <c r="E8" s="66"/>
      <c r="F8" s="66"/>
      <c r="G8" s="66"/>
      <c r="H8" s="65" t="s">
        <v>60</v>
      </c>
      <c r="L8" s="64">
        <f>Jogos!K3 + TIME(0,80,0)</f>
        <v>44969.534722222219</v>
      </c>
      <c r="M8" s="68" t="s">
        <v>61</v>
      </c>
      <c r="N8" s="67"/>
      <c r="O8" s="67"/>
      <c r="Q8" s="70" t="s">
        <v>62</v>
      </c>
      <c r="R8" s="69"/>
      <c r="S8" s="69"/>
    </row>
    <row r="9" spans="1:31" x14ac:dyDescent="0.3">
      <c r="A9" s="57">
        <v>3</v>
      </c>
      <c r="B9" s="74" t="str">
        <f ca="1">IFERROR(VLOOKUP($A9,$Q$5:$R$6, 2, FALSE), "")</f>
        <v>Mura</v>
      </c>
      <c r="C9" s="75">
        <v>2</v>
      </c>
      <c r="D9" s="71" t="s">
        <v>21</v>
      </c>
      <c r="E9" s="75">
        <v>2</v>
      </c>
      <c r="F9" s="72" t="str">
        <f ca="1">IFERROR(VLOOKUP($G9,$Q$5:$R$6, 2, FALSE), "")</f>
        <v>Marielcio</v>
      </c>
      <c r="G9" s="73">
        <v>4</v>
      </c>
      <c r="H9" s="71">
        <v>2</v>
      </c>
      <c r="I9" s="71"/>
      <c r="J9" s="71"/>
      <c r="K9" s="71"/>
      <c r="M9" s="58">
        <f ca="1">IFERROR(_xlfn.RANK.EQ(O9, O9:O9, 0), "")</f>
        <v>1</v>
      </c>
      <c r="N9" s="59" t="str">
        <f ca="1">IF(OR(C9="", E9=""), "", IF(OR(C9&gt;E9, C9=E9), B9, F9))</f>
        <v>Mura</v>
      </c>
      <c r="O9" s="58">
        <f ca="1">IF(OR(C9="", E9=""), "", VLOOKUP(N9, ClassGrupFases!$D$6:$P$27, 11, 0))</f>
        <v>78.497980517777776</v>
      </c>
      <c r="Q9" s="57">
        <f ca="1">IFERROR(_xlfn.RANK.EQ(S9, S9:S9, 0) + 1, "")</f>
        <v>2</v>
      </c>
      <c r="R9" s="60" t="str">
        <f ca="1">IF(OR(C9="", E9=""), "", IF(OR(C9&gt;E9, C9=E9), F9, B9))</f>
        <v>Marielcio</v>
      </c>
      <c r="S9" s="57">
        <f ca="1">IF(OR(C9="", E9=""), "", VLOOKUP(R9, ClassGrupFases!$D$6:$P$27, 11, 0))</f>
        <v>67.286870546666663</v>
      </c>
      <c r="U9" s="61" t="str">
        <f ca="1">IF(OR(C9 = "",E9 = ""), "", F9)</f>
        <v>Marielcio</v>
      </c>
      <c r="W9" s="61" t="str">
        <f>IF(OR(C9 = "",E9 = ""), "", IF(C9&gt;E9,B9, IF(E9&gt;C9,F9, "")))</f>
        <v/>
      </c>
      <c r="X9" s="61" t="str">
        <f ca="1">IF(OR(C9 = "",E9 = ""), "", IF(C9=E9,B9, ""))</f>
        <v>Mura</v>
      </c>
      <c r="Y9" s="61" t="str">
        <f ca="1">IF(OR(C9 = "",E9 = ""), "", IF(C9=E9,F9, ""))</f>
        <v>Marielcio</v>
      </c>
      <c r="Z9" s="61" t="str">
        <f>IF(OR(C9 = "",E9 = ""), "", IF(C9&gt;E9,F9, IF(E9&gt;C9,B9, "")))</f>
        <v/>
      </c>
      <c r="AA9" s="61" t="str">
        <f ca="1">IF(OR(C9 = "",E9 = ""), "", B9)</f>
        <v>Mura</v>
      </c>
      <c r="AB9" s="61">
        <f>IF(C9 = "", "", C9)</f>
        <v>2</v>
      </c>
      <c r="AC9" s="61" t="str">
        <f ca="1">IF(OR(C9 = "",E9 = ""), "", F9)</f>
        <v>Marielcio</v>
      </c>
      <c r="AD9" s="61">
        <f>IF(E9 = "", "", E9)</f>
        <v>2</v>
      </c>
      <c r="AE9" s="61">
        <f>IF(C9 = "", "", C9)</f>
        <v>2</v>
      </c>
    </row>
    <row r="10" spans="1:31" ht="25.5" x14ac:dyDescent="0.5">
      <c r="B10" s="63" t="s">
        <v>64</v>
      </c>
      <c r="C10" s="63"/>
      <c r="D10" s="63"/>
      <c r="E10" s="63"/>
      <c r="F10" s="63"/>
      <c r="G10" s="63"/>
      <c r="H10" s="63"/>
      <c r="U10" s="61" t="s">
        <v>13</v>
      </c>
      <c r="V10" s="61" t="s">
        <v>13</v>
      </c>
      <c r="W10" s="61" t="s">
        <v>14</v>
      </c>
      <c r="X10" s="61" t="s">
        <v>15</v>
      </c>
      <c r="Y10" s="61" t="s">
        <v>15</v>
      </c>
      <c r="Z10" s="61" t="s">
        <v>16</v>
      </c>
      <c r="AA10" s="61" t="s">
        <v>17</v>
      </c>
      <c r="AB10" s="61" t="s">
        <v>18</v>
      </c>
      <c r="AC10" s="61" t="s">
        <v>14</v>
      </c>
      <c r="AD10" s="61" t="s">
        <v>19</v>
      </c>
      <c r="AE10" s="61" t="s">
        <v>20</v>
      </c>
    </row>
    <row r="11" spans="1:31" x14ac:dyDescent="0.3">
      <c r="B11" s="66" t="s">
        <v>59</v>
      </c>
      <c r="C11" s="66"/>
      <c r="D11" s="66"/>
      <c r="E11" s="66"/>
      <c r="F11" s="66"/>
      <c r="G11" s="66"/>
      <c r="H11" s="65" t="s">
        <v>60</v>
      </c>
      <c r="L11" s="64">
        <f>Jogos!K3 + TIME(0,80,0)</f>
        <v>44969.534722222219</v>
      </c>
      <c r="M11" s="68" t="s">
        <v>61</v>
      </c>
      <c r="N11" s="67"/>
      <c r="O11" s="67"/>
      <c r="Q11" s="70" t="s">
        <v>62</v>
      </c>
      <c r="R11" s="69"/>
      <c r="S11" s="69"/>
    </row>
    <row r="12" spans="1:31" x14ac:dyDescent="0.3">
      <c r="A12" s="57">
        <v>1</v>
      </c>
      <c r="B12" s="62" t="str">
        <f ca="1">IFERROR(VLOOKUP($A12,$M$5:$N$6, 2, FALSE), "")</f>
        <v>Sallys</v>
      </c>
      <c r="C12" s="75">
        <v>1</v>
      </c>
      <c r="D12" s="34" t="s">
        <v>21</v>
      </c>
      <c r="E12" s="75">
        <v>2</v>
      </c>
      <c r="F12" s="35" t="str">
        <f ca="1">IFERROR(VLOOKUP($G12,$M$5:$N$6, 2, FALSE), "")</f>
        <v>DJ Iury</v>
      </c>
      <c r="G12" s="57">
        <v>2</v>
      </c>
      <c r="H12" s="34">
        <v>1</v>
      </c>
      <c r="M12" s="58">
        <f ca="1">IFERROR(_xlfn.RANK.EQ(O12, O12:O12, 0), "")</f>
        <v>1</v>
      </c>
      <c r="N12" s="59" t="str">
        <f ca="1">IF(OR(C12="", E12=""), "", IF(OR(C12&gt;E12, C12=E12), B12, F12))</f>
        <v>DJ Iury</v>
      </c>
      <c r="O12" s="58">
        <f ca="1">IF(OR(C12="", E12=""), "", VLOOKUP(N12, ClassGrupFases!$D$6:$P$27, 11, 0))</f>
        <v>100.93040379</v>
      </c>
      <c r="Q12" s="57">
        <f ca="1">IFERROR(_xlfn.RANK.EQ(S12, S12:S12, 0) + 1, "")</f>
        <v>2</v>
      </c>
      <c r="R12" s="60" t="str">
        <f ca="1">IF(OR(C12="", E12=""), "", IF(OR(C12&gt;E12, C12=E12), F12, B12))</f>
        <v>Sallys</v>
      </c>
      <c r="S12" s="57">
        <f ca="1">IF(OR(C12="", E12=""), "", VLOOKUP(R12, ClassGrupFases!$D$6:$P$27, 11, 0))</f>
        <v>100.93040492999999</v>
      </c>
      <c r="U12" s="61" t="str">
        <f ca="1">IF(OR(C12 = "",E12 = ""), "", F12)</f>
        <v>DJ Iury</v>
      </c>
      <c r="W12" s="61" t="str">
        <f ca="1">IF(OR(C12 = "",E12 = ""), "", IF(C12&gt;E12,B12, IF(E12&gt;C12,F12, "")))</f>
        <v>DJ Iury</v>
      </c>
      <c r="X12" s="61" t="str">
        <f>IF(OR(C12 = "",E12 = ""), "", IF(C12=E12,B12, ""))</f>
        <v/>
      </c>
      <c r="Y12" s="61" t="str">
        <f>IF(OR(C12 = "",E12 = ""), "", IF(C12=E12,F12, ""))</f>
        <v/>
      </c>
      <c r="Z12" s="61" t="str">
        <f ca="1">IF(OR(C12 = "",E12 = ""), "", IF(C12&gt;E12,F12, IF(E12&gt;C12,B12, "")))</f>
        <v>Sallys</v>
      </c>
      <c r="AA12" s="61" t="str">
        <f ca="1">IF(OR(C12 = "",E12 = ""), "", B12)</f>
        <v>Sallys</v>
      </c>
      <c r="AB12" s="61">
        <f>IF(C12 = "", "", C12)</f>
        <v>1</v>
      </c>
      <c r="AC12" s="61" t="str">
        <f ca="1">IF(OR(C12 = "",E12 = ""), "", F12)</f>
        <v>DJ Iury</v>
      </c>
      <c r="AD12" s="61">
        <f>IF(E12 = "", "", E12)</f>
        <v>2</v>
      </c>
      <c r="AE12" s="61">
        <f>IF(C12 = "", "", C12)</f>
        <v>1</v>
      </c>
    </row>
  </sheetData>
  <sheetProtection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showGridLines="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B3" sqref="B3:C19"/>
    </sheetView>
  </sheetViews>
  <sheetFormatPr defaultColWidth="10.875" defaultRowHeight="20.25" x14ac:dyDescent="0.35"/>
  <cols>
    <col min="1" max="1" width="1.875" style="76" customWidth="1"/>
    <col min="2" max="2" width="5.875" style="89" customWidth="1"/>
    <col min="3" max="3" width="50.875" style="78" customWidth="1"/>
    <col min="4" max="16384" width="10.875" style="76"/>
  </cols>
  <sheetData>
    <row r="1" spans="2:3" ht="21" x14ac:dyDescent="0.35">
      <c r="B1" s="77" t="s">
        <v>66</v>
      </c>
    </row>
    <row r="2" spans="2:3" x14ac:dyDescent="0.35">
      <c r="B2" s="79" t="s">
        <v>1</v>
      </c>
    </row>
    <row r="3" spans="2:3" ht="25.5" x14ac:dyDescent="0.5">
      <c r="B3" s="80" t="s">
        <v>65</v>
      </c>
      <c r="C3" s="80"/>
    </row>
    <row r="4" spans="2:3" x14ac:dyDescent="0.35">
      <c r="B4" s="81" t="s">
        <v>67</v>
      </c>
      <c r="C4" s="82" t="str">
        <f ca="1">IFERROR(INDEX(Finais!N:N,MATCH("Final",Finais!B:B,0)+2),"")</f>
        <v>DJ Iury</v>
      </c>
    </row>
    <row r="5" spans="2:3" x14ac:dyDescent="0.35">
      <c r="B5" s="81" t="s">
        <v>68</v>
      </c>
      <c r="C5" s="82" t="str">
        <f ca="1">IFERROR(INDEX(Finais!R:R,MATCH("Final",Finais!B:B,0)+2),"")</f>
        <v>Sallys</v>
      </c>
    </row>
    <row r="6" spans="2:3" x14ac:dyDescent="0.35">
      <c r="B6" s="81" t="s">
        <v>69</v>
      </c>
      <c r="C6" s="82" t="str">
        <f ca="1">IFERROR(INDEX(Finais!N:N,MATCH("Disputa de 3º lugar",Finais!B:B,0)+2),"")</f>
        <v>Mura</v>
      </c>
    </row>
    <row r="7" spans="2:3" x14ac:dyDescent="0.35">
      <c r="B7" s="81" t="s">
        <v>70</v>
      </c>
      <c r="C7" s="82" t="str">
        <f ca="1">IFERROR(INDEX(Finais!R:R,MATCH("Disputa de 3º lugar",Finais!B:B,0)+2),"")</f>
        <v>Marielcio</v>
      </c>
    </row>
    <row r="8" spans="2:3" x14ac:dyDescent="0.35">
      <c r="B8" s="83" t="s">
        <v>71</v>
      </c>
      <c r="C8" s="84" t="str">
        <f ca="1">IFERROR(VLOOKUP(5,ClassGrupFases!$C$37:$D$48,2,FALSE),"")</f>
        <v>Reginaldo</v>
      </c>
    </row>
    <row r="9" spans="2:3" x14ac:dyDescent="0.35">
      <c r="B9" s="83" t="s">
        <v>72</v>
      </c>
      <c r="C9" s="84" t="str">
        <f ca="1">IFERROR(VLOOKUP(6,ClassGrupFases!$C$37:$D$48,2,FALSE),"")</f>
        <v>Professor</v>
      </c>
    </row>
    <row r="10" spans="2:3" x14ac:dyDescent="0.35">
      <c r="B10" s="83" t="s">
        <v>73</v>
      </c>
      <c r="C10" s="84" t="str">
        <f ca="1">IFERROR(VLOOKUP(7,ClassGrupFases!$C$37:$D$48,2,FALSE),"")</f>
        <v>Leo Carioca</v>
      </c>
    </row>
    <row r="11" spans="2:3" x14ac:dyDescent="0.35">
      <c r="B11" s="85" t="s">
        <v>74</v>
      </c>
      <c r="C11" s="86" t="str">
        <f ca="1">IFERROR(VLOOKUP(8,ClassGrupFases!$C$37:$D$48,2,FALSE),"")</f>
        <v>Pepe</v>
      </c>
    </row>
    <row r="12" spans="2:3" x14ac:dyDescent="0.35">
      <c r="B12" s="87" t="s">
        <v>75</v>
      </c>
      <c r="C12" s="88" t="str">
        <f ca="1">IFERROR(VLOOKUP(9,ClassGrupFases!$C$37:$D$48,2,FALSE),"")</f>
        <v>Luiz Moreira</v>
      </c>
    </row>
    <row r="13" spans="2:3" x14ac:dyDescent="0.35">
      <c r="B13" s="87" t="s">
        <v>76</v>
      </c>
      <c r="C13" s="88" t="str">
        <f ca="1">IFERROR(VLOOKUP(10,ClassGrupFases!$C$37:$D$48,2,FALSE),"")</f>
        <v>Andre Coelho</v>
      </c>
    </row>
    <row r="14" spans="2:3" x14ac:dyDescent="0.35">
      <c r="B14" s="87" t="s">
        <v>77</v>
      </c>
      <c r="C14" s="88" t="str">
        <f ca="1">IFERROR(VLOOKUP(11,ClassGrupFases!$C$37:$D$48,2,FALSE),"")</f>
        <v>Luiz Coelho</v>
      </c>
    </row>
    <row r="15" spans="2:3" x14ac:dyDescent="0.35">
      <c r="B15" s="87" t="s">
        <v>78</v>
      </c>
      <c r="C15" s="88" t="str">
        <f ca="1">IFERROR(VLOOKUP(12,ClassGrupFases!$C$37:$D$48,2,FALSE),"")</f>
        <v>Cristiano</v>
      </c>
    </row>
    <row r="16" spans="2:3" x14ac:dyDescent="0.35">
      <c r="B16" s="87" t="s">
        <v>79</v>
      </c>
      <c r="C16" s="88" t="str">
        <f ca="1">IFERROR(VLOOKUP(13,ClassGrupFases!$C$37:$D$48,2,FALSE),"")</f>
        <v>Rafael Balieiro</v>
      </c>
    </row>
    <row r="17" spans="2:3" x14ac:dyDescent="0.35">
      <c r="B17" s="87" t="s">
        <v>80</v>
      </c>
      <c r="C17" s="88" t="str">
        <f ca="1">IFERROR(VLOOKUP(14,ClassGrupFases!$C$37:$D$48,2,FALSE),"")</f>
        <v>WO 1</v>
      </c>
    </row>
    <row r="18" spans="2:3" x14ac:dyDescent="0.35">
      <c r="B18" s="87" t="s">
        <v>81</v>
      </c>
      <c r="C18" s="88" t="str">
        <f ca="1">IFERROR(VLOOKUP(15,ClassGrupFases!$C$37:$D$48,2,FALSE),"")</f>
        <v>WO 2</v>
      </c>
    </row>
    <row r="19" spans="2:3" x14ac:dyDescent="0.35">
      <c r="B19" s="87" t="s">
        <v>82</v>
      </c>
      <c r="C19" s="88" t="str">
        <f ca="1">IFERROR(VLOOKUP(16,ClassGrupFases!$C$37:$D$48,2,FALSE),"")</f>
        <v>WO 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Equipes</vt:lpstr>
      <vt:lpstr>Grupos</vt:lpstr>
      <vt:lpstr>Jogos</vt:lpstr>
      <vt:lpstr>ClassGrupFases</vt:lpstr>
      <vt:lpstr>Classificação</vt:lpstr>
      <vt:lpstr>Finais</vt:lpstr>
      <vt:lpstr>Premiação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Jose Jorge Farah Neto</cp:lastModifiedBy>
  <dcterms:created xsi:type="dcterms:W3CDTF">2023-02-11T17:17:26Z</dcterms:created>
  <dcterms:modified xsi:type="dcterms:W3CDTF">2023-02-12T22:20:32Z</dcterms:modified>
</cp:coreProperties>
</file>